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6" documentId="8_{B9240577-9062-4B6F-AA3A-531B868FDCE2}" xr6:coauthVersionLast="47" xr6:coauthVersionMax="47" xr10:uidLastSave="{AF972FFA-8445-4AE5-9B6B-96B8DA54A585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3" r:id="rId53"/>
    <sheet name="308" sheetId="27" r:id="rId54"/>
    <sheet name="311" sheetId="65" r:id="rId55"/>
    <sheet name="324" sheetId="72" r:id="rId56"/>
    <sheet name="331" sheetId="30" r:id="rId57"/>
    <sheet name="315" sheetId="67" r:id="rId58"/>
    <sheet name="332" sheetId="33" r:id="rId59"/>
    <sheet name="316" sheetId="68" r:id="rId60"/>
    <sheet name="Div 6" sheetId="51" r:id="rId61"/>
    <sheet name="317" sheetId="69" r:id="rId62"/>
    <sheet name="310" sheetId="21" r:id="rId63"/>
    <sheet name="309" sheetId="64" r:id="rId64"/>
    <sheet name="321" sheetId="71" r:id="rId65"/>
    <sheet name="325" sheetId="73" r:id="rId66"/>
    <sheet name="326" sheetId="74" r:id="rId67"/>
    <sheet name="327" sheetId="75" r:id="rId68"/>
    <sheet name="Div 4" sheetId="36" r:id="rId69"/>
    <sheet name="310 &amp; 491" sheetId="39" r:id="rId70"/>
    <sheet name="491" sheetId="42" r:id="rId71"/>
    <sheet name="405" sheetId="76" r:id="rId72"/>
    <sheet name="406" sheetId="77" r:id="rId73"/>
    <sheet name="411" sheetId="78" r:id="rId74"/>
    <sheet name="412" sheetId="79" r:id="rId75"/>
    <sheet name="413" sheetId="80" r:id="rId76"/>
    <sheet name="414" sheetId="81" r:id="rId77"/>
    <sheet name="415" sheetId="82" r:id="rId78"/>
    <sheet name="418" sheetId="83" r:id="rId79"/>
    <sheet name="423" sheetId="84" r:id="rId80"/>
    <sheet name="424" sheetId="85" r:id="rId81"/>
    <sheet name="425" sheetId="86" r:id="rId82"/>
    <sheet name="492" sheetId="45" r:id="rId83"/>
    <sheet name="430" sheetId="87" r:id="rId84"/>
    <sheet name="433" sheetId="88" r:id="rId85"/>
    <sheet name="444" sheetId="89" r:id="rId86"/>
    <sheet name="450" sheetId="90" r:id="rId87"/>
    <sheet name="Div 5" sheetId="48" r:id="rId88"/>
    <sheet name="501" sheetId="91" r:id="rId89"/>
    <sheet name="Dept" sheetId="92" state="hidden" r:id="rId90"/>
    <sheet name="OSR_Dept_Y0WUKY" sheetId="93" state="hidden" r:id="rId91"/>
    <sheet name="OSR_Summary (...56e5d78f_5JEYZH" sheetId="94" state="hidden" r:id="rId92"/>
  </sheets>
  <definedNames>
    <definedName name="OSRRefD13x_0" localSheetId="48">'300'!$D$13:$D$19</definedName>
    <definedName name="OSRRefD13x_0" localSheetId="49">'300 &amp; 317'!$D$13:$D$19</definedName>
    <definedName name="OSRRefD13x_0" localSheetId="52">'307'!$D$13:$D$16</definedName>
    <definedName name="OSRRefD13x_0" localSheetId="53">'308'!$D$13:$D$17</definedName>
    <definedName name="OSRRefD13x_0" localSheetId="62">'310'!$D$13:$D$16</definedName>
    <definedName name="OSRRefD13x_0" localSheetId="69">'310 &amp; 491'!$D$13:$D$18</definedName>
    <definedName name="OSRRefD13x_0" localSheetId="54">'311'!$D$13:$D$17</definedName>
    <definedName name="OSRRefD13x_0" localSheetId="57">'315'!$D$13:$D$17</definedName>
    <definedName name="OSRRefD13x_0" localSheetId="59">'316'!$D$13:$D$17</definedName>
    <definedName name="OSRRefD13x_0" localSheetId="61">'317'!$D$13:$D$17</definedName>
    <definedName name="OSRRefD13x_0" localSheetId="64">'321'!$D$13:$D$14</definedName>
    <definedName name="OSRRefD13x_0" localSheetId="55">'324'!$D$13:$D$14</definedName>
    <definedName name="OSRRefD13x_0" localSheetId="65">'325'!$D$13:$D$14</definedName>
    <definedName name="OSRRefD13x_0" localSheetId="66">'326'!$D$13:$D$16</definedName>
    <definedName name="OSRRefD13x_0" localSheetId="67">'327'!$D$13:$D$15</definedName>
    <definedName name="OSRRefD13x_0" localSheetId="51">'330'!$D$13:$D$16</definedName>
    <definedName name="OSRRefD13x_0" localSheetId="56">'331'!$D$13:$D$17</definedName>
    <definedName name="OSRRefD13x_0" localSheetId="58">'332'!$D$13:$D$17</definedName>
    <definedName name="OSRRefD13x_0" localSheetId="71">'405'!$D$13:$D$16</definedName>
    <definedName name="OSRRefD13x_0" localSheetId="77">'415'!$D$13:$D$16</definedName>
    <definedName name="OSRRefD13x_0" localSheetId="78">'418'!$D$13:$D$14</definedName>
    <definedName name="OSRRefD13x_0" localSheetId="81">'425'!$D$13</definedName>
    <definedName name="OSRRefD13x_0" localSheetId="84">'433'!$D$13:$D$16</definedName>
    <definedName name="OSRRefD13x_0" localSheetId="85">'444'!$D$13:$D$16</definedName>
    <definedName name="OSRRefD13x_0" localSheetId="86">'450'!$D$13:$D$16</definedName>
    <definedName name="OSRRefD13x_0" localSheetId="70">'491'!$D$13:$D$17</definedName>
    <definedName name="OSRRefD13x_0" localSheetId="82">'492'!$D$13:$D$16</definedName>
    <definedName name="OSRRefD13x_0" localSheetId="88">'501'!$D$13</definedName>
    <definedName name="OSRRefD13x_0" localSheetId="47">'Div 3'!$D$13:$D$21</definedName>
    <definedName name="OSRRefD13x_0" localSheetId="68">'Div 4'!$D$13:$D$18</definedName>
    <definedName name="OSRRefD13x_0" localSheetId="87">'Div 5'!$D$13</definedName>
    <definedName name="OSRRefD13x_0" localSheetId="60">'Div 6'!$D$13:$D$17</definedName>
    <definedName name="OSRRefD13x_0" localSheetId="2">Summary!$D$13:$D$23</definedName>
    <definedName name="OSRRefD16x_0" localSheetId="48">'300'!$D$22:$D$48</definedName>
    <definedName name="OSRRefD16x_0" localSheetId="49">'300 &amp; 317'!$D$22:$D$54</definedName>
    <definedName name="OSRRefD16x_0" localSheetId="50">'301'!$D$15</definedName>
    <definedName name="OSRRefD16x_0" localSheetId="52">'307'!$D$19:$D$28</definedName>
    <definedName name="OSRRefD16x_0" localSheetId="53">'308'!$D$20:$D$29</definedName>
    <definedName name="OSRRefD16x_0" localSheetId="62">'310'!$D$19:$D$21</definedName>
    <definedName name="OSRRefD16x_0" localSheetId="69">'310 &amp; 491'!$D$21:$D$23</definedName>
    <definedName name="OSRRefD16x_0" localSheetId="54">'311'!$D$20:$D$29</definedName>
    <definedName name="OSRRefD16x_0" localSheetId="57">'315'!$D$20:$D$38</definedName>
    <definedName name="OSRRefD16x_0" localSheetId="59">'316'!$D$20:$D$21</definedName>
    <definedName name="OSRRefD16x_0" localSheetId="61">'317'!$D$20:$D$29</definedName>
    <definedName name="OSRRefD16x_0" localSheetId="64">'321'!$D$17:$D$18</definedName>
    <definedName name="OSRRefD16x_0" localSheetId="55">'324'!$D$17</definedName>
    <definedName name="OSRRefD16x_0" localSheetId="65">'325'!$D$17:$D$19</definedName>
    <definedName name="OSRRefD16x_0" localSheetId="66">'326'!$D$19:$D$22</definedName>
    <definedName name="OSRRefD16x_0" localSheetId="67">'327'!$D$18:$D$20</definedName>
    <definedName name="OSRRefD16x_0" localSheetId="51">'330'!$D$19:$D$28</definedName>
    <definedName name="OSRRefD16x_0" localSheetId="56">'331'!$D$20:$D$38</definedName>
    <definedName name="OSRRefD16x_0" localSheetId="58">'332'!$D$20:$D$21</definedName>
    <definedName name="OSRRefD16x_0" localSheetId="71">'405'!$D$19:$D$21</definedName>
    <definedName name="OSRRefD16x_0" localSheetId="77">'415'!$D$19:$D$21</definedName>
    <definedName name="OSRRefD16x_0" localSheetId="78">'418'!$D$17:$D$18</definedName>
    <definedName name="OSRRefD16x_0" localSheetId="81">'425'!$D$16</definedName>
    <definedName name="OSRRefD16x_0" localSheetId="84">'433'!$D$19:$D$21</definedName>
    <definedName name="OSRRefD16x_0" localSheetId="85">'444'!$D$19:$D$21</definedName>
    <definedName name="OSRRefD16x_0" localSheetId="86">'450'!$D$19:$D$21</definedName>
    <definedName name="OSRRefD16x_0" localSheetId="70">'491'!$D$20:$D$22</definedName>
    <definedName name="OSRRefD16x_0" localSheetId="82">'492'!$D$19:$D$21</definedName>
    <definedName name="OSRRefD16x_0" localSheetId="47">'Div 3'!$D$24:$D$52</definedName>
    <definedName name="OSRRefD16x_0" localSheetId="68">'Div 4'!$D$21:$D$23</definedName>
    <definedName name="OSRRefD16x_0" localSheetId="60">'Div 6'!$D$20:$D$29</definedName>
    <definedName name="OSRRefD16x_0" localSheetId="2">Summary!$D$26:$D$60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'300'!$D$54:$D$63</definedName>
    <definedName name="OSRRefD22_0x_0" localSheetId="49">'300 &amp; 317'!$D$60:$D$69</definedName>
    <definedName name="OSRRefD22_0x_0" localSheetId="50">'301'!$D$21:$D$30</definedName>
    <definedName name="OSRRefD22_0x_0" localSheetId="52">'307'!$D$34:$D$41</definedName>
    <definedName name="OSRRefD22_0x_0" localSheetId="53">'308'!$D$35:$D$44</definedName>
    <definedName name="OSRRefD22_0x_0" localSheetId="63">'309'!$D$20</definedName>
    <definedName name="OSRRefD22_0x_0" localSheetId="62">'310'!$D$27:$D$35</definedName>
    <definedName name="OSRRefD22_0x_0" localSheetId="69">'310 &amp; 491'!$D$29:$D$37</definedName>
    <definedName name="OSRRefD22_0x_0" localSheetId="54">'311'!$D$35:$D$44</definedName>
    <definedName name="OSRRefD22_0x_0" localSheetId="57">'315'!$D$44:$D$52</definedName>
    <definedName name="OSRRefD22_0x_0" localSheetId="59">'316'!$D$27:$D$35</definedName>
    <definedName name="OSRRefD22_0x_0" localSheetId="61">'317'!$D$35:$D$44</definedName>
    <definedName name="OSRRefD22_0x_0" localSheetId="64">'321'!$D$24:$D$32</definedName>
    <definedName name="OSRRefD22_0x_0" localSheetId="65">'325'!$D$25:$D$33</definedName>
    <definedName name="OSRRefD22_0x_0" localSheetId="66">'326'!$D$28:$D$36</definedName>
    <definedName name="OSRRefD22_0x_0" localSheetId="67">'327'!$D$26</definedName>
    <definedName name="OSRRefD22_0x_0" localSheetId="51">'330'!$D$34:$D$41</definedName>
    <definedName name="OSRRefD22_0x_0" localSheetId="56">'331'!$D$44:$D$52</definedName>
    <definedName name="OSRRefD22_0x_0" localSheetId="58">'332'!$D$27:$D$35</definedName>
    <definedName name="OSRRefD22_0x_0" localSheetId="71">'405'!$D$27:$D$35</definedName>
    <definedName name="OSRRefD22_0x_0" localSheetId="72">'406'!$D$20</definedName>
    <definedName name="OSRRefD22_0x_0" localSheetId="73">'411'!$D$20:$D$28</definedName>
    <definedName name="OSRRefD22_0x_0" localSheetId="74">'412'!$D$20</definedName>
    <definedName name="OSRRefD22_0x_0" localSheetId="75">'413'!$D$20</definedName>
    <definedName name="OSRRefD22_0x_0" localSheetId="76">'414'!$D$20</definedName>
    <definedName name="OSRRefD22_0x_0" localSheetId="77">'415'!$D$27:$D$35</definedName>
    <definedName name="OSRRefD22_0x_0" localSheetId="78">'418'!$D$24:$D$32</definedName>
    <definedName name="OSRRefD22_0x_0" localSheetId="79">'423'!$D$20:$D$27</definedName>
    <definedName name="OSRRefD22_0x_0" localSheetId="80">'424'!$D$20</definedName>
    <definedName name="OSRRefD22_0x_0" localSheetId="81">'425'!$D$22</definedName>
    <definedName name="OSRRefD22_0x_0" localSheetId="83">'430'!$D$20:$D$28</definedName>
    <definedName name="OSRRefD22_0x_0" localSheetId="84">'433'!$D$27:$D$36</definedName>
    <definedName name="OSRRefD22_0x_0" localSheetId="85">'444'!$D$27:$D$36</definedName>
    <definedName name="OSRRefD22_0x_0" localSheetId="86">'450'!$D$27:$D$36</definedName>
    <definedName name="OSRRefD22_0x_0" localSheetId="70">'491'!$D$28:$D$36</definedName>
    <definedName name="OSRRefD22_0x_0" localSheetId="82">'492'!$D$27:$D$36</definedName>
    <definedName name="OSRRefD22_0x_0" localSheetId="88">'501'!$D$21:$D$30</definedName>
    <definedName name="OSRRefD22_0x_0" localSheetId="39">'Div 2'!$D$20:$D$30</definedName>
    <definedName name="OSRRefD22_0x_0" localSheetId="47">'Div 3'!$D$58:$D$67</definedName>
    <definedName name="OSRRefD22_0x_0" localSheetId="68">'Div 4'!$D$29:$D$38</definedName>
    <definedName name="OSRRefD22_0x_0" localSheetId="87">'Div 5'!$D$21:$D$30</definedName>
    <definedName name="OSRRefD22_0x_0" localSheetId="60">'Div 6'!$D$35:$D$44</definedName>
    <definedName name="OSRRefD22_0x_0" localSheetId="2">Summary!$D$66:$D$75</definedName>
    <definedName name="OSRRefD22_10x_0" localSheetId="41">'201'!$D$59:$D$60</definedName>
    <definedName name="OSRRefD22_10x_0" localSheetId="42">'202'!$D$59</definedName>
    <definedName name="OSRRefD22_10x_0" localSheetId="43">'203'!$D$61</definedName>
    <definedName name="OSRRefD22_10x_0" localSheetId="44">'204'!$D$62</definedName>
    <definedName name="OSRRefD22_10x_0" localSheetId="48">'300'!$D$94:$D$95</definedName>
    <definedName name="OSRRefD22_10x_0" localSheetId="49">'300 &amp; 317'!$D$100:$D$101</definedName>
    <definedName name="OSRRefD22_10x_0" localSheetId="50">'301'!$D$61</definedName>
    <definedName name="OSRRefD22_10x_0" localSheetId="52">'307'!$D$72:$D$73</definedName>
    <definedName name="OSRRefD22_10x_0" localSheetId="53">'308'!$D$75:$D$76</definedName>
    <definedName name="OSRRefD22_10x_0" localSheetId="62">'310'!$D$65</definedName>
    <definedName name="OSRRefD22_10x_0" localSheetId="69">'310 &amp; 491'!$D$67</definedName>
    <definedName name="OSRRefD22_10x_0" localSheetId="54">'311'!$D$75:$D$76</definedName>
    <definedName name="OSRRefD22_10x_0" localSheetId="57">'315'!$D$82</definedName>
    <definedName name="OSRRefD22_10x_0" localSheetId="59">'316'!$D$70</definedName>
    <definedName name="OSRRefD22_10x_0" localSheetId="64">'321'!$D$66</definedName>
    <definedName name="OSRRefD22_10x_0" localSheetId="65">'325'!$D$63</definedName>
    <definedName name="OSRRefD22_10x_0" localSheetId="66">'326'!$D$66</definedName>
    <definedName name="OSRRefD22_10x_0" localSheetId="51">'330'!$D$72:$D$73</definedName>
    <definedName name="OSRRefD22_10x_0" localSheetId="56">'331'!$D$83</definedName>
    <definedName name="OSRRefD22_10x_0" localSheetId="58">'332'!$D$70</definedName>
    <definedName name="OSRRefD22_10x_0" localSheetId="71">'405'!$D$66:$D$69</definedName>
    <definedName name="OSRRefD22_10x_0" localSheetId="73">'411'!$D$62</definedName>
    <definedName name="OSRRefD22_10x_0" localSheetId="77">'415'!$D$65</definedName>
    <definedName name="OSRRefD22_10x_0" localSheetId="78">'418'!$D$66</definedName>
    <definedName name="OSRRefD22_10x_0" localSheetId="84">'433'!$D$65</definedName>
    <definedName name="OSRRefD22_10x_0" localSheetId="85">'444'!$D$65</definedName>
    <definedName name="OSRRefD22_10x_0" localSheetId="86">'450'!$D$65</definedName>
    <definedName name="OSRRefD22_10x_0" localSheetId="70">'491'!$D$66</definedName>
    <definedName name="OSRRefD22_10x_0" localSheetId="82">'492'!$D$65</definedName>
    <definedName name="OSRRefD22_10x_0" localSheetId="88">'501'!$D$62</definedName>
    <definedName name="OSRRefD22_10x_0" localSheetId="39">'Div 2'!$D$60</definedName>
    <definedName name="OSRRefD22_10x_0" localSheetId="47">'Div 3'!$D$98:$D$99</definedName>
    <definedName name="OSRRefD22_10x_0" localSheetId="68">'Div 4'!$D$68</definedName>
    <definedName name="OSRRefD22_10x_0" localSheetId="87">'Div 5'!$D$62</definedName>
    <definedName name="OSRRefD22_10x_0" localSheetId="2">Summary!$D$106:$D$107</definedName>
    <definedName name="OSRRefD22_11x_0" localSheetId="41">'201'!$D$62</definedName>
    <definedName name="OSRRefD22_11x_0" localSheetId="42">'202'!$D$61</definedName>
    <definedName name="OSRRefD22_11x_0" localSheetId="43">'203'!$D$63:$D$66</definedName>
    <definedName name="OSRRefD22_11x_0" localSheetId="48">'300'!$D$97:$D$98</definedName>
    <definedName name="OSRRefD22_11x_0" localSheetId="49">'300 &amp; 317'!$D$103:$D$104</definedName>
    <definedName name="OSRRefD22_11x_0" localSheetId="50">'301'!$D$63</definedName>
    <definedName name="OSRRefD22_11x_0" localSheetId="52">'307'!$D$75:$D$78</definedName>
    <definedName name="OSRRefD22_11x_0" localSheetId="53">'308'!$D$78:$D$79</definedName>
    <definedName name="OSRRefD22_11x_0" localSheetId="62">'310'!$D$67:$D$69</definedName>
    <definedName name="OSRRefD22_11x_0" localSheetId="69">'310 &amp; 491'!$D$69</definedName>
    <definedName name="OSRRefD22_11x_0" localSheetId="54">'311'!$D$78:$D$79</definedName>
    <definedName name="OSRRefD22_11x_0" localSheetId="57">'315'!$D$84</definedName>
    <definedName name="OSRRefD22_11x_0" localSheetId="64">'321'!$D$68</definedName>
    <definedName name="OSRRefD22_11x_0" localSheetId="65">'325'!$D$65:$D$67</definedName>
    <definedName name="OSRRefD22_11x_0" localSheetId="66">'326'!$D$68:$D$69</definedName>
    <definedName name="OSRRefD22_11x_0" localSheetId="51">'330'!$D$75:$D$78</definedName>
    <definedName name="OSRRefD22_11x_0" localSheetId="56">'331'!$D$85</definedName>
    <definedName name="OSRRefD22_11x_0" localSheetId="71">'405'!$D$71</definedName>
    <definedName name="OSRRefD22_11x_0" localSheetId="73">'411'!$D$64</definedName>
    <definedName name="OSRRefD22_11x_0" localSheetId="77">'415'!$D$67:$D$68</definedName>
    <definedName name="OSRRefD22_11x_0" localSheetId="78">'418'!$D$68:$D$75</definedName>
    <definedName name="OSRRefD22_11x_0" localSheetId="84">'433'!$D$67:$D$69</definedName>
    <definedName name="OSRRefD22_11x_0" localSheetId="85">'444'!$D$67:$D$68</definedName>
    <definedName name="OSRRefD22_11x_0" localSheetId="86">'450'!$D$67:$D$69</definedName>
    <definedName name="OSRRefD22_11x_0" localSheetId="70">'491'!$D$68</definedName>
    <definedName name="OSRRefD22_11x_0" localSheetId="82">'492'!$D$67</definedName>
    <definedName name="OSRRefD22_11x_0" localSheetId="88">'501'!$D$64:$D$66</definedName>
    <definedName name="OSRRefD22_11x_0" localSheetId="39">'Div 2'!$D$62</definedName>
    <definedName name="OSRRefD22_11x_0" localSheetId="47">'Div 3'!$D$101:$D$102</definedName>
    <definedName name="OSRRefD22_11x_0" localSheetId="68">'Div 4'!$D$70</definedName>
    <definedName name="OSRRefD22_11x_0" localSheetId="87">'Div 5'!$D$64:$D$66</definedName>
    <definedName name="OSRRefD22_11x_0" localSheetId="2">Summary!$D$109:$D$110</definedName>
    <definedName name="OSRRefD22_12x_0" localSheetId="41">'201'!$D$64:$D$65</definedName>
    <definedName name="OSRRefD22_12x_0" localSheetId="42">'202'!$D$63</definedName>
    <definedName name="OSRRefD22_12x_0" localSheetId="43">'203'!$D$68</definedName>
    <definedName name="OSRRefD22_12x_0" localSheetId="48">'300'!$D$100</definedName>
    <definedName name="OSRRefD22_12x_0" localSheetId="49">'300 &amp; 317'!$D$106</definedName>
    <definedName name="OSRRefD22_12x_0" localSheetId="50">'301'!$D$65</definedName>
    <definedName name="OSRRefD22_12x_0" localSheetId="52">'307'!$D$80</definedName>
    <definedName name="OSRRefD22_12x_0" localSheetId="53">'308'!$D$81</definedName>
    <definedName name="OSRRefD22_12x_0" localSheetId="62">'310'!$D$71</definedName>
    <definedName name="OSRRefD22_12x_0" localSheetId="69">'310 &amp; 491'!$D$71:$D$73</definedName>
    <definedName name="OSRRefD22_12x_0" localSheetId="54">'311'!$D$81</definedName>
    <definedName name="OSRRefD22_12x_0" localSheetId="57">'315'!$D$86:$D$87</definedName>
    <definedName name="OSRRefD22_12x_0" localSheetId="65">'325'!$D$69:$D$71</definedName>
    <definedName name="OSRRefD22_12x_0" localSheetId="66">'326'!$D$71:$D$72</definedName>
    <definedName name="OSRRefD22_12x_0" localSheetId="51">'330'!$D$80</definedName>
    <definedName name="OSRRefD22_12x_0" localSheetId="56">'331'!$D$87</definedName>
    <definedName name="OSRRefD22_12x_0" localSheetId="71">'405'!$D$73:$D$80</definedName>
    <definedName name="OSRRefD22_12x_0" localSheetId="73">'411'!$D$66</definedName>
    <definedName name="OSRRefD22_12x_0" localSheetId="77">'415'!$D$70:$D$73</definedName>
    <definedName name="OSRRefD22_12x_0" localSheetId="78">'418'!$D$77:$D$78</definedName>
    <definedName name="OSRRefD22_12x_0" localSheetId="84">'433'!$D$71:$D$74</definedName>
    <definedName name="OSRRefD22_12x_0" localSheetId="85">'444'!$D$70:$D$73</definedName>
    <definedName name="OSRRefD22_12x_0" localSheetId="86">'450'!$D$71:$D$74</definedName>
    <definedName name="OSRRefD22_12x_0" localSheetId="70">'491'!$D$70:$D$72</definedName>
    <definedName name="OSRRefD22_12x_0" localSheetId="82">'492'!$D$69:$D$71</definedName>
    <definedName name="OSRRefD22_12x_0" localSheetId="88">'501'!$D$68</definedName>
    <definedName name="OSRRefD22_12x_0" localSheetId="39">'Div 2'!$D$64:$D$67</definedName>
    <definedName name="OSRRefD22_12x_0" localSheetId="47">'Div 3'!$D$104</definedName>
    <definedName name="OSRRefD22_12x_0" localSheetId="68">'Div 4'!$D$72</definedName>
    <definedName name="OSRRefD22_12x_0" localSheetId="87">'Div 5'!$D$68</definedName>
    <definedName name="OSRRefD22_12x_0" localSheetId="2">Summary!$D$112</definedName>
    <definedName name="OSRRefD22_13x_0" localSheetId="41">'201'!$D$67</definedName>
    <definedName name="OSRRefD22_13x_0" localSheetId="43">'203'!$D$70</definedName>
    <definedName name="OSRRefD22_13x_0" localSheetId="48">'300'!$D$102</definedName>
    <definedName name="OSRRefD22_13x_0" localSheetId="49">'300 &amp; 317'!$D$108</definedName>
    <definedName name="OSRRefD22_13x_0" localSheetId="50">'301'!$D$67</definedName>
    <definedName name="OSRRefD22_13x_0" localSheetId="62">'310'!$D$73:$D$75</definedName>
    <definedName name="OSRRefD22_13x_0" localSheetId="69">'310 &amp; 491'!$D$75:$D$76</definedName>
    <definedName name="OSRRefD22_13x_0" localSheetId="57">'315'!$D$89:$D$91</definedName>
    <definedName name="OSRRefD22_13x_0" localSheetId="65">'325'!$D$73:$D$77</definedName>
    <definedName name="OSRRefD22_13x_0" localSheetId="66">'326'!$D$74:$D$75</definedName>
    <definedName name="OSRRefD22_13x_0" localSheetId="56">'331'!$D$89</definedName>
    <definedName name="OSRRefD22_13x_0" localSheetId="71">'405'!$D$82</definedName>
    <definedName name="OSRRefD22_13x_0" localSheetId="73">'411'!$D$68</definedName>
    <definedName name="OSRRefD22_13x_0" localSheetId="77">'415'!$D$75</definedName>
    <definedName name="OSRRefD22_13x_0" localSheetId="78">'418'!$D$80</definedName>
    <definedName name="OSRRefD22_13x_0" localSheetId="84">'433'!$D$76:$D$83</definedName>
    <definedName name="OSRRefD22_13x_0" localSheetId="85">'444'!$D$75</definedName>
    <definedName name="OSRRefD22_13x_0" localSheetId="86">'450'!$D$76:$D$82</definedName>
    <definedName name="OSRRefD22_13x_0" localSheetId="70">'491'!$D$74</definedName>
    <definedName name="OSRRefD22_13x_0" localSheetId="82">'492'!$D$73:$D$76</definedName>
    <definedName name="OSRRefD22_13x_0" localSheetId="88">'501'!$D$70</definedName>
    <definedName name="OSRRefD22_13x_0" localSheetId="39">'Div 2'!$D$69:$D$72</definedName>
    <definedName name="OSRRefD22_13x_0" localSheetId="47">'Div 3'!$D$106</definedName>
    <definedName name="OSRRefD22_13x_0" localSheetId="68">'Div 4'!$D$74</definedName>
    <definedName name="OSRRefD22_13x_0" localSheetId="87">'Div 5'!$D$70</definedName>
    <definedName name="OSRRefD22_13x_0" localSheetId="2">Summary!$D$114</definedName>
    <definedName name="OSRRefD22_14x_0" localSheetId="41">'201'!$D$69</definedName>
    <definedName name="OSRRefD22_14x_0" localSheetId="43">'203'!$D$72</definedName>
    <definedName name="OSRRefD22_14x_0" localSheetId="48">'300'!$D$104</definedName>
    <definedName name="OSRRefD22_14x_0" localSheetId="49">'300 &amp; 317'!$D$110</definedName>
    <definedName name="OSRRefD22_14x_0" localSheetId="50">'301'!$D$69</definedName>
    <definedName name="OSRRefD22_14x_0" localSheetId="62">'310'!$D$77:$D$81</definedName>
    <definedName name="OSRRefD22_14x_0" localSheetId="69">'310 &amp; 491'!$D$78:$D$82</definedName>
    <definedName name="OSRRefD22_14x_0" localSheetId="57">'315'!$D$93:$D$94</definedName>
    <definedName name="OSRRefD22_14x_0" localSheetId="65">'325'!$D$79:$D$80</definedName>
    <definedName name="OSRRefD22_14x_0" localSheetId="66">'326'!$D$77:$D$79</definedName>
    <definedName name="OSRRefD22_14x_0" localSheetId="56">'331'!$D$91:$D$92</definedName>
    <definedName name="OSRRefD22_14x_0" localSheetId="71">'405'!$D$84</definedName>
    <definedName name="OSRRefD22_14x_0" localSheetId="73">'411'!$D$70</definedName>
    <definedName name="OSRRefD22_14x_0" localSheetId="77">'415'!$D$77:$D$82</definedName>
    <definedName name="OSRRefD22_14x_0" localSheetId="78">'418'!$D$82</definedName>
    <definedName name="OSRRefD22_14x_0" localSheetId="84">'433'!$D$85</definedName>
    <definedName name="OSRRefD22_14x_0" localSheetId="85">'444'!$D$77:$D$84</definedName>
    <definedName name="OSRRefD22_14x_0" localSheetId="86">'450'!$D$84</definedName>
    <definedName name="OSRRefD22_14x_0" localSheetId="70">'491'!$D$76:$D$80</definedName>
    <definedName name="OSRRefD22_14x_0" localSheetId="82">'492'!$D$78</definedName>
    <definedName name="OSRRefD22_14x_0" localSheetId="39">'Div 2'!$D$74:$D$75</definedName>
    <definedName name="OSRRefD22_14x_0" localSheetId="47">'Div 3'!$D$108</definedName>
    <definedName name="OSRRefD22_14x_0" localSheetId="68">'Div 4'!$D$76:$D$78</definedName>
    <definedName name="OSRRefD22_14x_0" localSheetId="2">Summary!$D$116</definedName>
    <definedName name="OSRRefD22_15x_0" localSheetId="41">'201'!$D$71</definedName>
    <definedName name="OSRRefD22_15x_0" localSheetId="48">'300'!$D$106</definedName>
    <definedName name="OSRRefD22_15x_0" localSheetId="49">'300 &amp; 317'!$D$112</definedName>
    <definedName name="OSRRefD22_15x_0" localSheetId="50">'301'!$D$71:$D$74</definedName>
    <definedName name="OSRRefD22_15x_0" localSheetId="62">'310'!$D$83:$D$84</definedName>
    <definedName name="OSRRefD22_15x_0" localSheetId="69">'310 &amp; 491'!$D$84</definedName>
    <definedName name="OSRRefD22_15x_0" localSheetId="57">'315'!$D$96:$D$99</definedName>
    <definedName name="OSRRefD22_15x_0" localSheetId="65">'325'!$D$82</definedName>
    <definedName name="OSRRefD22_15x_0" localSheetId="66">'326'!$D$81</definedName>
    <definedName name="OSRRefD22_15x_0" localSheetId="56">'331'!$D$94:$D$96</definedName>
    <definedName name="OSRRefD22_15x_0" localSheetId="71">'405'!$D$86</definedName>
    <definedName name="OSRRefD22_15x_0" localSheetId="77">'415'!$D$84:$D$85</definedName>
    <definedName name="OSRRefD22_15x_0" localSheetId="85">'444'!$D$86</definedName>
    <definedName name="OSRRefD22_15x_0" localSheetId="86">'450'!$D$86</definedName>
    <definedName name="OSRRefD22_15x_0" localSheetId="70">'491'!$D$82</definedName>
    <definedName name="OSRRefD22_15x_0" localSheetId="82">'492'!$D$80:$D$87</definedName>
    <definedName name="OSRRefD22_15x_0" localSheetId="39">'Div 2'!$D$77:$D$78</definedName>
    <definedName name="OSRRefD22_15x_0" localSheetId="47">'Div 3'!$D$110</definedName>
    <definedName name="OSRRefD22_15x_0" localSheetId="68">'Div 4'!$D$80</definedName>
    <definedName name="OSRRefD22_15x_0" localSheetId="2">Summary!$D$118</definedName>
    <definedName name="OSRRefD22_16x_0" localSheetId="48">'300'!$D$108:$D$111</definedName>
    <definedName name="OSRRefD22_16x_0" localSheetId="49">'300 &amp; 317'!$D$114:$D$117</definedName>
    <definedName name="OSRRefD22_16x_0" localSheetId="50">'301'!$D$76:$D$77</definedName>
    <definedName name="OSRRefD22_16x_0" localSheetId="62">'310'!$D$86</definedName>
    <definedName name="OSRRefD22_16x_0" localSheetId="69">'310 &amp; 491'!$D$86:$D$95</definedName>
    <definedName name="OSRRefD22_16x_0" localSheetId="57">'315'!$D$101</definedName>
    <definedName name="OSRRefD22_16x_0" localSheetId="66">'326'!$D$83:$D$84</definedName>
    <definedName name="OSRRefD22_16x_0" localSheetId="56">'331'!$D$98:$D$99</definedName>
    <definedName name="OSRRefD22_16x_0" localSheetId="77">'415'!$D$87</definedName>
    <definedName name="OSRRefD22_16x_0" localSheetId="85">'444'!$D$88</definedName>
    <definedName name="OSRRefD22_16x_0" localSheetId="86">'450'!$D$88</definedName>
    <definedName name="OSRRefD22_16x_0" localSheetId="70">'491'!$D$84:$D$92</definedName>
    <definedName name="OSRRefD22_16x_0" localSheetId="82">'492'!$D$89:$D$90</definedName>
    <definedName name="OSRRefD22_16x_0" localSheetId="39">'Div 2'!$D$80:$D$85</definedName>
    <definedName name="OSRRefD22_16x_0" localSheetId="47">'Div 3'!$D$112</definedName>
    <definedName name="OSRRefD22_16x_0" localSheetId="68">'Div 4'!$D$82:$D$86</definedName>
    <definedName name="OSRRefD22_16x_0" localSheetId="2">Summary!$D$120</definedName>
    <definedName name="OSRRefD22_17x_0" localSheetId="48">'300'!$D$113:$D$116</definedName>
    <definedName name="OSRRefD22_17x_0" localSheetId="49">'300 &amp; 317'!$D$119:$D$122</definedName>
    <definedName name="OSRRefD22_17x_0" localSheetId="50">'301'!$D$79</definedName>
    <definedName name="OSRRefD22_17x_0" localSheetId="62">'310'!$D$88</definedName>
    <definedName name="OSRRefD22_17x_0" localSheetId="69">'310 &amp; 491'!$D$97:$D$98</definedName>
    <definedName name="OSRRefD22_17x_0" localSheetId="57">'315'!$D$103</definedName>
    <definedName name="OSRRefD22_17x_0" localSheetId="66">'326'!$D$86</definedName>
    <definedName name="OSRRefD22_17x_0" localSheetId="56">'331'!$D$101:$D$102</definedName>
    <definedName name="OSRRefD22_17x_0" localSheetId="77">'415'!$D$89</definedName>
    <definedName name="OSRRefD22_17x_0" localSheetId="70">'491'!$D$94:$D$95</definedName>
    <definedName name="OSRRefD22_17x_0" localSheetId="82">'492'!$D$92</definedName>
    <definedName name="OSRRefD22_17x_0" localSheetId="39">'Div 2'!$D$87:$D$88</definedName>
    <definedName name="OSRRefD22_17x_0" localSheetId="47">'Div 3'!$D$114:$D$117</definedName>
    <definedName name="OSRRefD22_17x_0" localSheetId="68">'Div 4'!$D$88:$D$89</definedName>
    <definedName name="OSRRefD22_17x_0" localSheetId="2">Summary!$D$122</definedName>
    <definedName name="OSRRefD22_18x_0" localSheetId="48">'300'!$D$118:$D$120</definedName>
    <definedName name="OSRRefD22_18x_0" localSheetId="49">'300 &amp; 317'!$D$124:$D$126</definedName>
    <definedName name="OSRRefD22_18x_0" localSheetId="50">'301'!$D$81:$D$86</definedName>
    <definedName name="OSRRefD22_18x_0" localSheetId="69">'310 &amp; 491'!$D$100</definedName>
    <definedName name="OSRRefD22_18x_0" localSheetId="56">'331'!$D$104:$D$108</definedName>
    <definedName name="OSRRefD22_18x_0" localSheetId="70">'491'!$D$97</definedName>
    <definedName name="OSRRefD22_18x_0" localSheetId="82">'492'!$D$94:$D$95</definedName>
    <definedName name="OSRRefD22_18x_0" localSheetId="39">'Div 2'!$D$90</definedName>
    <definedName name="OSRRefD22_18x_0" localSheetId="47">'Div 3'!$D$119:$D$122</definedName>
    <definedName name="OSRRefD22_18x_0" localSheetId="68">'Div 4'!$D$91:$D$100</definedName>
    <definedName name="OSRRefD22_18x_0" localSheetId="2">Summary!$D$124:$D$127</definedName>
    <definedName name="OSRRefD22_19x_0" localSheetId="48">'300'!$D$122:$D$123</definedName>
    <definedName name="OSRRefD22_19x_0" localSheetId="49">'300 &amp; 317'!$D$128:$D$129</definedName>
    <definedName name="OSRRefD22_19x_0" localSheetId="50">'301'!$D$88</definedName>
    <definedName name="OSRRefD22_19x_0" localSheetId="69">'310 &amp; 491'!$D$102</definedName>
    <definedName name="OSRRefD22_19x_0" localSheetId="56">'331'!$D$110</definedName>
    <definedName name="OSRRefD22_19x_0" localSheetId="70">'491'!$D$99</definedName>
    <definedName name="OSRRefD22_19x_0" localSheetId="39">'Div 2'!$D$92:$D$93</definedName>
    <definedName name="OSRRefD22_19x_0" localSheetId="47">'Div 3'!$D$124:$D$127</definedName>
    <definedName name="OSRRefD22_19x_0" localSheetId="68">'Div 4'!$D$102:$D$103</definedName>
    <definedName name="OSRRefD22_19x_0" localSheetId="2">Summary!$D$129:$D$132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'300'!$D$65:$D$74</definedName>
    <definedName name="OSRRefD22_1x_0" localSheetId="49">'300 &amp; 317'!$D$71:$D$80</definedName>
    <definedName name="OSRRefD22_1x_0" localSheetId="50">'301'!$D$32:$D$41</definedName>
    <definedName name="OSRRefD22_1x_0" localSheetId="52">'307'!$D$43:$D$52</definedName>
    <definedName name="OSRRefD22_1x_0" localSheetId="53">'308'!$D$46:$D$55</definedName>
    <definedName name="OSRRefD22_1x_0" localSheetId="63">'309'!$D$22</definedName>
    <definedName name="OSRRefD22_1x_0" localSheetId="62">'310'!$D$37:$D$46</definedName>
    <definedName name="OSRRefD22_1x_0" localSheetId="69">'310 &amp; 491'!$D$39:$D$48</definedName>
    <definedName name="OSRRefD22_1x_0" localSheetId="54">'311'!$D$46:$D$55</definedName>
    <definedName name="OSRRefD22_1x_0" localSheetId="57">'315'!$D$54:$D$63</definedName>
    <definedName name="OSRRefD22_1x_0" localSheetId="59">'316'!$D$37:$D$46</definedName>
    <definedName name="OSRRefD22_1x_0" localSheetId="61">'317'!$D$46:$D$55</definedName>
    <definedName name="OSRRefD22_1x_0" localSheetId="64">'321'!$D$34:$D$43</definedName>
    <definedName name="OSRRefD22_1x_0" localSheetId="65">'325'!$D$35:$D$44</definedName>
    <definedName name="OSRRefD22_1x_0" localSheetId="66">'326'!$D$38:$D$47</definedName>
    <definedName name="OSRRefD22_1x_0" localSheetId="51">'330'!$D$43:$D$52</definedName>
    <definedName name="OSRRefD22_1x_0" localSheetId="56">'331'!$D$54:$D$63</definedName>
    <definedName name="OSRRefD22_1x_0" localSheetId="58">'332'!$D$37:$D$46</definedName>
    <definedName name="OSRRefD22_1x_0" localSheetId="71">'405'!$D$37:$D$46</definedName>
    <definedName name="OSRRefD22_1x_0" localSheetId="72">'406'!$D$22</definedName>
    <definedName name="OSRRefD22_1x_0" localSheetId="73">'411'!$D$30:$D$39</definedName>
    <definedName name="OSRRefD22_1x_0" localSheetId="74">'412'!$D$22</definedName>
    <definedName name="OSRRefD22_1x_0" localSheetId="75">'413'!$D$22</definedName>
    <definedName name="OSRRefD22_1x_0" localSheetId="76">'414'!$D$22</definedName>
    <definedName name="OSRRefD22_1x_0" localSheetId="77">'415'!$D$37:$D$46</definedName>
    <definedName name="OSRRefD22_1x_0" localSheetId="78">'418'!$D$34:$D$43</definedName>
    <definedName name="OSRRefD22_1x_0" localSheetId="79">'423'!$D$29:$D$38</definedName>
    <definedName name="OSRRefD22_1x_0" localSheetId="80">'424'!$D$22</definedName>
    <definedName name="OSRRefD22_1x_0" localSheetId="81">'425'!$D$24</definedName>
    <definedName name="OSRRefD22_1x_0" localSheetId="83">'430'!$D$30:$D$39</definedName>
    <definedName name="OSRRefD22_1x_0" localSheetId="84">'433'!$D$38:$D$47</definedName>
    <definedName name="OSRRefD22_1x_0" localSheetId="85">'444'!$D$38:$D$47</definedName>
    <definedName name="OSRRefD22_1x_0" localSheetId="86">'450'!$D$38:$D$47</definedName>
    <definedName name="OSRRefD22_1x_0" localSheetId="70">'491'!$D$38:$D$47</definedName>
    <definedName name="OSRRefD22_1x_0" localSheetId="82">'492'!$D$38:$D$47</definedName>
    <definedName name="OSRRefD22_1x_0" localSheetId="88">'501'!$D$32:$D$41</definedName>
    <definedName name="OSRRefD22_1x_0" localSheetId="39">'Div 2'!$D$32:$D$41</definedName>
    <definedName name="OSRRefD22_1x_0" localSheetId="47">'Div 3'!$D$69:$D$78</definedName>
    <definedName name="OSRRefD22_1x_0" localSheetId="68">'Div 4'!$D$40:$D$49</definedName>
    <definedName name="OSRRefD22_1x_0" localSheetId="87">'Div 5'!$D$32:$D$41</definedName>
    <definedName name="OSRRefD22_1x_0" localSheetId="60">'Div 6'!$D$46:$D$55</definedName>
    <definedName name="OSRRefD22_1x_0" localSheetId="2">Summary!$D$77:$D$86</definedName>
    <definedName name="OSRRefD22_20x_0" localSheetId="48">'300'!$D$125:$D$131</definedName>
    <definedName name="OSRRefD22_20x_0" localSheetId="49">'300 &amp; 317'!$D$131:$D$137</definedName>
    <definedName name="OSRRefD22_20x_0" localSheetId="50">'301'!$D$90</definedName>
    <definedName name="OSRRefD22_20x_0" localSheetId="69">'310 &amp; 491'!$D$104</definedName>
    <definedName name="OSRRefD22_20x_0" localSheetId="56">'331'!$D$112:$D$113</definedName>
    <definedName name="OSRRefD22_20x_0" localSheetId="70">'491'!$D$101</definedName>
    <definedName name="OSRRefD22_20x_0" localSheetId="47">'Div 3'!$D$129:$D$130</definedName>
    <definedName name="OSRRefD22_20x_0" localSheetId="68">'Div 4'!$D$105</definedName>
    <definedName name="OSRRefD22_20x_0" localSheetId="2">Summary!$D$134:$D$138</definedName>
    <definedName name="OSRRefD22_21x_0" localSheetId="48">'300'!$D$133:$D$134</definedName>
    <definedName name="OSRRefD22_21x_0" localSheetId="49">'300 &amp; 317'!$D$139:$D$140</definedName>
    <definedName name="OSRRefD22_21x_0" localSheetId="50">'301'!$D$92:$D$93</definedName>
    <definedName name="OSRRefD22_21x_0" localSheetId="56">'331'!$D$115</definedName>
    <definedName name="OSRRefD22_21x_0" localSheetId="47">'Div 3'!$D$132:$D$138</definedName>
    <definedName name="OSRRefD22_21x_0" localSheetId="68">'Div 4'!$D$107:$D$108</definedName>
    <definedName name="OSRRefD22_21x_0" localSheetId="2">Summary!$D$140:$D$141</definedName>
    <definedName name="OSRRefD22_22x_0" localSheetId="48">'300'!$D$136</definedName>
    <definedName name="OSRRefD22_22x_0" localSheetId="49">'300 &amp; 317'!$D$142</definedName>
    <definedName name="OSRRefD22_22x_0" localSheetId="50">'301'!$D$95</definedName>
    <definedName name="OSRRefD22_22x_0" localSheetId="47">'Div 3'!$D$140:$D$141</definedName>
    <definedName name="OSRRefD22_22x_0" localSheetId="68">'Div 4'!$D$110</definedName>
    <definedName name="OSRRefD22_22x_0" localSheetId="2">Summary!$D$143:$D$152</definedName>
    <definedName name="OSRRefD22_23x_0" localSheetId="48">'300'!$D$138:$D$140</definedName>
    <definedName name="OSRRefD22_23x_0" localSheetId="49">'300 &amp; 317'!$D$144:$D$146</definedName>
    <definedName name="OSRRefD22_23x_0" localSheetId="47">'Div 3'!$D$143</definedName>
    <definedName name="OSRRefD22_23x_0" localSheetId="2">Summary!$D$154:$D$155</definedName>
    <definedName name="OSRRefD22_24x_0" localSheetId="48">'300'!$D$142</definedName>
    <definedName name="OSRRefD22_24x_0" localSheetId="49">'300 &amp; 317'!$D$148</definedName>
    <definedName name="OSRRefD22_24x_0" localSheetId="47">'Div 3'!$D$145:$D$147</definedName>
    <definedName name="OSRRefD22_24x_0" localSheetId="2">Summary!$D$157</definedName>
    <definedName name="OSRRefD22_25x_0" localSheetId="47">'Div 3'!$D$149</definedName>
    <definedName name="OSRRefD22_25x_0" localSheetId="2">Summary!$D$159:$D$161</definedName>
    <definedName name="OSRRefD22_26x_0" localSheetId="2">Summary!$D$163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'300'!$D$76</definedName>
    <definedName name="OSRRefD22_2x_0" localSheetId="49">'300 &amp; 317'!$D$82</definedName>
    <definedName name="OSRRefD22_2x_0" localSheetId="50">'301'!$D$43</definedName>
    <definedName name="OSRRefD22_2x_0" localSheetId="52">'307'!$D$54</definedName>
    <definedName name="OSRRefD22_2x_0" localSheetId="53">'308'!$D$57</definedName>
    <definedName name="OSRRefD22_2x_0" localSheetId="63">'309'!$D$24</definedName>
    <definedName name="OSRRefD22_2x_0" localSheetId="62">'310'!$D$48</definedName>
    <definedName name="OSRRefD22_2x_0" localSheetId="69">'310 &amp; 491'!$D$50</definedName>
    <definedName name="OSRRefD22_2x_0" localSheetId="54">'311'!$D$57</definedName>
    <definedName name="OSRRefD22_2x_0" localSheetId="57">'315'!$D$65</definedName>
    <definedName name="OSRRefD22_2x_0" localSheetId="59">'316'!$D$48</definedName>
    <definedName name="OSRRefD22_2x_0" localSheetId="61">'317'!$D$57</definedName>
    <definedName name="OSRRefD22_2x_0" localSheetId="64">'321'!$D$45</definedName>
    <definedName name="OSRRefD22_2x_0" localSheetId="65">'325'!$D$46</definedName>
    <definedName name="OSRRefD22_2x_0" localSheetId="66">'326'!$D$49</definedName>
    <definedName name="OSRRefD22_2x_0" localSheetId="51">'330'!$D$54</definedName>
    <definedName name="OSRRefD22_2x_0" localSheetId="56">'331'!$D$65</definedName>
    <definedName name="OSRRefD22_2x_0" localSheetId="58">'332'!$D$48</definedName>
    <definedName name="OSRRefD22_2x_0" localSheetId="71">'405'!$D$48</definedName>
    <definedName name="OSRRefD22_2x_0" localSheetId="73">'411'!$D$41</definedName>
    <definedName name="OSRRefD22_2x_0" localSheetId="74">'412'!$D$24</definedName>
    <definedName name="OSRRefD22_2x_0" localSheetId="75">'413'!$D$24</definedName>
    <definedName name="OSRRefD22_2x_0" localSheetId="76">'414'!$D$24</definedName>
    <definedName name="OSRRefD22_2x_0" localSheetId="77">'415'!$D$48</definedName>
    <definedName name="OSRRefD22_2x_0" localSheetId="78">'418'!$D$45</definedName>
    <definedName name="OSRRefD22_2x_0" localSheetId="79">'423'!$D$40</definedName>
    <definedName name="OSRRefD22_2x_0" localSheetId="80">'424'!$D$24</definedName>
    <definedName name="OSRRefD22_2x_0" localSheetId="81">'425'!$D$26</definedName>
    <definedName name="OSRRefD22_2x_0" localSheetId="83">'430'!$D$41</definedName>
    <definedName name="OSRRefD22_2x_0" localSheetId="84">'433'!$D$49</definedName>
    <definedName name="OSRRefD22_2x_0" localSheetId="85">'444'!$D$49</definedName>
    <definedName name="OSRRefD22_2x_0" localSheetId="86">'450'!$D$49</definedName>
    <definedName name="OSRRefD22_2x_0" localSheetId="70">'491'!$D$49</definedName>
    <definedName name="OSRRefD22_2x_0" localSheetId="82">'492'!$D$49</definedName>
    <definedName name="OSRRefD22_2x_0" localSheetId="88">'501'!$D$43</definedName>
    <definedName name="OSRRefD22_2x_0" localSheetId="39">'Div 2'!$D$43</definedName>
    <definedName name="OSRRefD22_2x_0" localSheetId="47">'Div 3'!$D$80</definedName>
    <definedName name="OSRRefD22_2x_0" localSheetId="68">'Div 4'!$D$51</definedName>
    <definedName name="OSRRefD22_2x_0" localSheetId="87">'Div 5'!$D$43</definedName>
    <definedName name="OSRRefD22_2x_0" localSheetId="60">'Div 6'!$D$57</definedName>
    <definedName name="OSRRefD22_2x_0" localSheetId="2">Summary!$D$88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'300'!$D$78</definedName>
    <definedName name="OSRRefD22_3x_0" localSheetId="49">'300 &amp; 317'!$D$84</definedName>
    <definedName name="OSRRefD22_3x_0" localSheetId="50">'301'!$D$45</definedName>
    <definedName name="OSRRefD22_3x_0" localSheetId="52">'307'!$D$56</definedName>
    <definedName name="OSRRefD22_3x_0" localSheetId="53">'308'!$D$59</definedName>
    <definedName name="OSRRefD22_3x_0" localSheetId="63">'309'!$D$26</definedName>
    <definedName name="OSRRefD22_3x_0" localSheetId="62">'310'!$D$50</definedName>
    <definedName name="OSRRefD22_3x_0" localSheetId="69">'310 &amp; 491'!$D$52</definedName>
    <definedName name="OSRRefD22_3x_0" localSheetId="54">'311'!$D$59</definedName>
    <definedName name="OSRRefD22_3x_0" localSheetId="57">'315'!$D$67</definedName>
    <definedName name="OSRRefD22_3x_0" localSheetId="59">'316'!$D$50</definedName>
    <definedName name="OSRRefD22_3x_0" localSheetId="61">'317'!$D$59</definedName>
    <definedName name="OSRRefD22_3x_0" localSheetId="64">'321'!$D$47</definedName>
    <definedName name="OSRRefD22_3x_0" localSheetId="65">'325'!$D$48</definedName>
    <definedName name="OSRRefD22_3x_0" localSheetId="66">'326'!$D$51</definedName>
    <definedName name="OSRRefD22_3x_0" localSheetId="51">'330'!$D$56</definedName>
    <definedName name="OSRRefD22_3x_0" localSheetId="56">'331'!$D$67</definedName>
    <definedName name="OSRRefD22_3x_0" localSheetId="58">'332'!$D$50</definedName>
    <definedName name="OSRRefD22_3x_0" localSheetId="71">'405'!$D$50</definedName>
    <definedName name="OSRRefD22_3x_0" localSheetId="73">'411'!$D$43:$D$44</definedName>
    <definedName name="OSRRefD22_3x_0" localSheetId="74">'412'!$D$26</definedName>
    <definedName name="OSRRefD22_3x_0" localSheetId="77">'415'!$D$50</definedName>
    <definedName name="OSRRefD22_3x_0" localSheetId="78">'418'!$D$47</definedName>
    <definedName name="OSRRefD22_3x_0" localSheetId="79">'423'!$D$42</definedName>
    <definedName name="OSRRefD22_3x_0" localSheetId="81">'425'!$D$28</definedName>
    <definedName name="OSRRefD22_3x_0" localSheetId="83">'430'!$D$43</definedName>
    <definedName name="OSRRefD22_3x_0" localSheetId="84">'433'!$D$51</definedName>
    <definedName name="OSRRefD22_3x_0" localSheetId="85">'444'!$D$51</definedName>
    <definedName name="OSRRefD22_3x_0" localSheetId="86">'450'!$D$51</definedName>
    <definedName name="OSRRefD22_3x_0" localSheetId="70">'491'!$D$51</definedName>
    <definedName name="OSRRefD22_3x_0" localSheetId="82">'492'!$D$51</definedName>
    <definedName name="OSRRefD22_3x_0" localSheetId="88">'501'!$D$45</definedName>
    <definedName name="OSRRefD22_3x_0" localSheetId="39">'Div 2'!$D$45</definedName>
    <definedName name="OSRRefD22_3x_0" localSheetId="47">'Div 3'!$D$82</definedName>
    <definedName name="OSRRefD22_3x_0" localSheetId="68">'Div 4'!$D$53</definedName>
    <definedName name="OSRRefD22_3x_0" localSheetId="87">'Div 5'!$D$45</definedName>
    <definedName name="OSRRefD22_3x_0" localSheetId="60">'Div 6'!$D$59</definedName>
    <definedName name="OSRRefD22_3x_0" localSheetId="2">Summary!$D$90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'205'!$D$45:$D$46</definedName>
    <definedName name="OSRRefD22_4x_0" localSheetId="46">'206'!$D$45:$D$46</definedName>
    <definedName name="OSRRefD22_4x_0" localSheetId="48">'300'!$D$80</definedName>
    <definedName name="OSRRefD22_4x_0" localSheetId="49">'300 &amp; 317'!$D$86</definedName>
    <definedName name="OSRRefD22_4x_0" localSheetId="50">'301'!$D$47</definedName>
    <definedName name="OSRRefD22_4x_0" localSheetId="52">'307'!$D$58</definedName>
    <definedName name="OSRRefD22_4x_0" localSheetId="53">'308'!$D$61</definedName>
    <definedName name="OSRRefD22_4x_0" localSheetId="63">'309'!$D$28:$D$29</definedName>
    <definedName name="OSRRefD22_4x_0" localSheetId="62">'310'!$D$52</definedName>
    <definedName name="OSRRefD22_4x_0" localSheetId="69">'310 &amp; 491'!$D$54</definedName>
    <definedName name="OSRRefD22_4x_0" localSheetId="54">'311'!$D$61</definedName>
    <definedName name="OSRRefD22_4x_0" localSheetId="57">'315'!$D$69</definedName>
    <definedName name="OSRRefD22_4x_0" localSheetId="59">'316'!$D$52</definedName>
    <definedName name="OSRRefD22_4x_0" localSheetId="61">'317'!$D$61</definedName>
    <definedName name="OSRRefD22_4x_0" localSheetId="64">'321'!$D$49</definedName>
    <definedName name="OSRRefD22_4x_0" localSheetId="65">'325'!$D$50</definedName>
    <definedName name="OSRRefD22_4x_0" localSheetId="66">'326'!$D$53</definedName>
    <definedName name="OSRRefD22_4x_0" localSheetId="51">'330'!$D$58</definedName>
    <definedName name="OSRRefD22_4x_0" localSheetId="56">'331'!$D$69</definedName>
    <definedName name="OSRRefD22_4x_0" localSheetId="58">'332'!$D$52</definedName>
    <definedName name="OSRRefD22_4x_0" localSheetId="71">'405'!$D$52</definedName>
    <definedName name="OSRRefD22_4x_0" localSheetId="73">'411'!$D$46</definedName>
    <definedName name="OSRRefD22_4x_0" localSheetId="77">'415'!$D$52</definedName>
    <definedName name="OSRRefD22_4x_0" localSheetId="78">'418'!$D$49:$D$50</definedName>
    <definedName name="OSRRefD22_4x_0" localSheetId="79">'423'!$D$44</definedName>
    <definedName name="OSRRefD22_4x_0" localSheetId="81">'425'!$D$30</definedName>
    <definedName name="OSRRefD22_4x_0" localSheetId="83">'430'!$D$45</definedName>
    <definedName name="OSRRefD22_4x_0" localSheetId="84">'433'!$D$53</definedName>
    <definedName name="OSRRefD22_4x_0" localSheetId="85">'444'!$D$53</definedName>
    <definedName name="OSRRefD22_4x_0" localSheetId="86">'450'!$D$53</definedName>
    <definedName name="OSRRefD22_4x_0" localSheetId="70">'491'!$D$53</definedName>
    <definedName name="OSRRefD22_4x_0" localSheetId="82">'492'!$D$53</definedName>
    <definedName name="OSRRefD22_4x_0" localSheetId="88">'501'!$D$47</definedName>
    <definedName name="OSRRefD22_4x_0" localSheetId="39">'Div 2'!$D$47</definedName>
    <definedName name="OSRRefD22_4x_0" localSheetId="47">'Div 3'!$D$84</definedName>
    <definedName name="OSRRefD22_4x_0" localSheetId="68">'Div 4'!$D$55</definedName>
    <definedName name="OSRRefD22_4x_0" localSheetId="87">'Div 5'!$D$47</definedName>
    <definedName name="OSRRefD22_4x_0" localSheetId="60">'Div 6'!$D$61</definedName>
    <definedName name="OSRRefD22_4x_0" localSheetId="2">Summary!$D$92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'204'!$D$48:$D$51</definedName>
    <definedName name="OSRRefD22_5x_0" localSheetId="45">'205'!$D$48</definedName>
    <definedName name="OSRRefD22_5x_0" localSheetId="46">'206'!$D$48</definedName>
    <definedName name="OSRRefD22_5x_0" localSheetId="48">'300'!$D$82:$D$83</definedName>
    <definedName name="OSRRefD22_5x_0" localSheetId="49">'300 &amp; 317'!$D$88:$D$89</definedName>
    <definedName name="OSRRefD22_5x_0" localSheetId="50">'301'!$D$49:$D$50</definedName>
    <definedName name="OSRRefD22_5x_0" localSheetId="52">'307'!$D$60:$D$61</definedName>
    <definedName name="OSRRefD22_5x_0" localSheetId="53">'308'!$D$63</definedName>
    <definedName name="OSRRefD22_5x_0" localSheetId="63">'309'!$D$31</definedName>
    <definedName name="OSRRefD22_5x_0" localSheetId="62">'310'!$D$54:$D$55</definedName>
    <definedName name="OSRRefD22_5x_0" localSheetId="69">'310 &amp; 491'!$D$56:$D$57</definedName>
    <definedName name="OSRRefD22_5x_0" localSheetId="54">'311'!$D$63</definedName>
    <definedName name="OSRRefD22_5x_0" localSheetId="57">'315'!$D$71</definedName>
    <definedName name="OSRRefD22_5x_0" localSheetId="59">'316'!$D$54:$D$55</definedName>
    <definedName name="OSRRefD22_5x_0" localSheetId="61">'317'!$D$63</definedName>
    <definedName name="OSRRefD22_5x_0" localSheetId="64">'321'!$D$51</definedName>
    <definedName name="OSRRefD22_5x_0" localSheetId="65">'325'!$D$52:$D$53</definedName>
    <definedName name="OSRRefD22_5x_0" localSheetId="66">'326'!$D$55</definedName>
    <definedName name="OSRRefD22_5x_0" localSheetId="51">'330'!$D$60:$D$61</definedName>
    <definedName name="OSRRefD22_5x_0" localSheetId="56">'331'!$D$71</definedName>
    <definedName name="OSRRefD22_5x_0" localSheetId="58">'332'!$D$54:$D$55</definedName>
    <definedName name="OSRRefD22_5x_0" localSheetId="71">'405'!$D$54:$D$55</definedName>
    <definedName name="OSRRefD22_5x_0" localSheetId="73">'411'!$D$48</definedName>
    <definedName name="OSRRefD22_5x_0" localSheetId="77">'415'!$D$54:$D$55</definedName>
    <definedName name="OSRRefD22_5x_0" localSheetId="78">'418'!$D$52</definedName>
    <definedName name="OSRRefD22_5x_0" localSheetId="79">'423'!$D$46</definedName>
    <definedName name="OSRRefD22_5x_0" localSheetId="81">'425'!$D$32</definedName>
    <definedName name="OSRRefD22_5x_0" localSheetId="83">'430'!$D$47:$D$48</definedName>
    <definedName name="OSRRefD22_5x_0" localSheetId="84">'433'!$D$55</definedName>
    <definedName name="OSRRefD22_5x_0" localSheetId="85">'444'!$D$55</definedName>
    <definedName name="OSRRefD22_5x_0" localSheetId="86">'450'!$D$55</definedName>
    <definedName name="OSRRefD22_5x_0" localSheetId="70">'491'!$D$55:$D$56</definedName>
    <definedName name="OSRRefD22_5x_0" localSheetId="82">'492'!$D$55</definedName>
    <definedName name="OSRRefD22_5x_0" localSheetId="88">'501'!$D$49:$D$50</definedName>
    <definedName name="OSRRefD22_5x_0" localSheetId="39">'Div 2'!$D$49:$D$50</definedName>
    <definedName name="OSRRefD22_5x_0" localSheetId="47">'Div 3'!$D$86:$D$87</definedName>
    <definedName name="OSRRefD22_5x_0" localSheetId="68">'Div 4'!$D$57:$D$58</definedName>
    <definedName name="OSRRefD22_5x_0" localSheetId="87">'Div 5'!$D$49:$D$50</definedName>
    <definedName name="OSRRefD22_5x_0" localSheetId="60">'Div 6'!$D$63</definedName>
    <definedName name="OSRRefD22_5x_0" localSheetId="2">Summary!$D$94:$D$95</definedName>
    <definedName name="OSRRefD22_6x_0" localSheetId="41">'201'!$D$49</definedName>
    <definedName name="OSRRefD22_6x_0" localSheetId="42">'202'!$D$49</definedName>
    <definedName name="OSRRefD22_6x_0" localSheetId="43">'203'!$D$50</definedName>
    <definedName name="OSRRefD22_6x_0" localSheetId="44">'204'!$D$53</definedName>
    <definedName name="OSRRefD22_6x_0" localSheetId="45">'205'!$D$50:$D$52</definedName>
    <definedName name="OSRRefD22_6x_0" localSheetId="46">'206'!$D$50:$D$51</definedName>
    <definedName name="OSRRefD22_6x_0" localSheetId="48">'300'!$D$85:$D$86</definedName>
    <definedName name="OSRRefD22_6x_0" localSheetId="49">'300 &amp; 317'!$D$91:$D$92</definedName>
    <definedName name="OSRRefD22_6x_0" localSheetId="50">'301'!$D$52:$D$53</definedName>
    <definedName name="OSRRefD22_6x_0" localSheetId="52">'307'!$D$63</definedName>
    <definedName name="OSRRefD22_6x_0" localSheetId="53">'308'!$D$65</definedName>
    <definedName name="OSRRefD22_6x_0" localSheetId="63">'309'!$D$33</definedName>
    <definedName name="OSRRefD22_6x_0" localSheetId="62">'310'!$D$57</definedName>
    <definedName name="OSRRefD22_6x_0" localSheetId="69">'310 &amp; 491'!$D$59</definedName>
    <definedName name="OSRRefD22_6x_0" localSheetId="54">'311'!$D$65</definedName>
    <definedName name="OSRRefD22_6x_0" localSheetId="57">'315'!$D$73</definedName>
    <definedName name="OSRRefD22_6x_0" localSheetId="59">'316'!$D$57</definedName>
    <definedName name="OSRRefD22_6x_0" localSheetId="61">'317'!$D$65</definedName>
    <definedName name="OSRRefD22_6x_0" localSheetId="64">'321'!$D$53:$D$54</definedName>
    <definedName name="OSRRefD22_6x_0" localSheetId="65">'325'!$D$55</definedName>
    <definedName name="OSRRefD22_6x_0" localSheetId="66">'326'!$D$57:$D$58</definedName>
    <definedName name="OSRRefD22_6x_0" localSheetId="51">'330'!$D$63</definedName>
    <definedName name="OSRRefD22_6x_0" localSheetId="56">'331'!$D$73</definedName>
    <definedName name="OSRRefD22_6x_0" localSheetId="58">'332'!$D$57</definedName>
    <definedName name="OSRRefD22_6x_0" localSheetId="71">'405'!$D$57</definedName>
    <definedName name="OSRRefD22_6x_0" localSheetId="73">'411'!$D$50</definedName>
    <definedName name="OSRRefD22_6x_0" localSheetId="77">'415'!$D$57</definedName>
    <definedName name="OSRRefD22_6x_0" localSheetId="78">'418'!$D$54</definedName>
    <definedName name="OSRRefD22_6x_0" localSheetId="83">'430'!$D$50:$D$51</definedName>
    <definedName name="OSRRefD22_6x_0" localSheetId="84">'433'!$D$57</definedName>
    <definedName name="OSRRefD22_6x_0" localSheetId="85">'444'!$D$57</definedName>
    <definedName name="OSRRefD22_6x_0" localSheetId="86">'450'!$D$57</definedName>
    <definedName name="OSRRefD22_6x_0" localSheetId="70">'491'!$D$58</definedName>
    <definedName name="OSRRefD22_6x_0" localSheetId="82">'492'!$D$57</definedName>
    <definedName name="OSRRefD22_6x_0" localSheetId="88">'501'!$D$52</definedName>
    <definedName name="OSRRefD22_6x_0" localSheetId="39">'Div 2'!$D$52</definedName>
    <definedName name="OSRRefD22_6x_0" localSheetId="47">'Div 3'!$D$89:$D$90</definedName>
    <definedName name="OSRRefD22_6x_0" localSheetId="68">'Div 4'!$D$60</definedName>
    <definedName name="OSRRefD22_6x_0" localSheetId="87">'Div 5'!$D$52</definedName>
    <definedName name="OSRRefD22_6x_0" localSheetId="60">'Div 6'!$D$65</definedName>
    <definedName name="OSRRefD22_6x_0" localSheetId="2">Summary!$D$97:$D$98</definedName>
    <definedName name="OSRRefD22_7x_0" localSheetId="41">'201'!$D$51</definedName>
    <definedName name="OSRRefD22_7x_0" localSheetId="42">'202'!$D$51:$D$53</definedName>
    <definedName name="OSRRefD22_7x_0" localSheetId="43">'203'!$D$52</definedName>
    <definedName name="OSRRefD22_7x_0" localSheetId="44">'204'!$D$55</definedName>
    <definedName name="OSRRefD22_7x_0" localSheetId="45">'205'!$D$54</definedName>
    <definedName name="OSRRefD22_7x_0" localSheetId="46">'206'!$D$53</definedName>
    <definedName name="OSRRefD22_7x_0" localSheetId="48">'300'!$D$88</definedName>
    <definedName name="OSRRefD22_7x_0" localSheetId="49">'300 &amp; 317'!$D$94</definedName>
    <definedName name="OSRRefD22_7x_0" localSheetId="50">'301'!$D$55</definedName>
    <definedName name="OSRRefD22_7x_0" localSheetId="52">'307'!$D$65</definedName>
    <definedName name="OSRRefD22_7x_0" localSheetId="53">'308'!$D$67</definedName>
    <definedName name="OSRRefD22_7x_0" localSheetId="62">'310'!$D$59</definedName>
    <definedName name="OSRRefD22_7x_0" localSheetId="69">'310 &amp; 491'!$D$61</definedName>
    <definedName name="OSRRefD22_7x_0" localSheetId="54">'311'!$D$67</definedName>
    <definedName name="OSRRefD22_7x_0" localSheetId="57">'315'!$D$75</definedName>
    <definedName name="OSRRefD22_7x_0" localSheetId="59">'316'!$D$59:$D$61</definedName>
    <definedName name="OSRRefD22_7x_0" localSheetId="61">'317'!$D$67</definedName>
    <definedName name="OSRRefD22_7x_0" localSheetId="64">'321'!$D$56</definedName>
    <definedName name="OSRRefD22_7x_0" localSheetId="65">'325'!$D$57</definedName>
    <definedName name="OSRRefD22_7x_0" localSheetId="66">'326'!$D$60</definedName>
    <definedName name="OSRRefD22_7x_0" localSheetId="51">'330'!$D$65</definedName>
    <definedName name="OSRRefD22_7x_0" localSheetId="56">'331'!$D$75</definedName>
    <definedName name="OSRRefD22_7x_0" localSheetId="58">'332'!$D$59:$D$61</definedName>
    <definedName name="OSRRefD22_7x_0" localSheetId="71">'405'!$D$59</definedName>
    <definedName name="OSRRefD22_7x_0" localSheetId="73">'411'!$D$52</definedName>
    <definedName name="OSRRefD22_7x_0" localSheetId="77">'415'!$D$59</definedName>
    <definedName name="OSRRefD22_7x_0" localSheetId="78">'418'!$D$56</definedName>
    <definedName name="OSRRefD22_7x_0" localSheetId="83">'430'!$D$53</definedName>
    <definedName name="OSRRefD22_7x_0" localSheetId="84">'433'!$D$59</definedName>
    <definedName name="OSRRefD22_7x_0" localSheetId="85">'444'!$D$59</definedName>
    <definedName name="OSRRefD22_7x_0" localSheetId="86">'450'!$D$59</definedName>
    <definedName name="OSRRefD22_7x_0" localSheetId="70">'491'!$D$60</definedName>
    <definedName name="OSRRefD22_7x_0" localSheetId="82">'492'!$D$59</definedName>
    <definedName name="OSRRefD22_7x_0" localSheetId="88">'501'!$D$54</definedName>
    <definedName name="OSRRefD22_7x_0" localSheetId="39">'Div 2'!$D$54</definedName>
    <definedName name="OSRRefD22_7x_0" localSheetId="47">'Div 3'!$D$92</definedName>
    <definedName name="OSRRefD22_7x_0" localSheetId="68">'Div 4'!$D$62</definedName>
    <definedName name="OSRRefD22_7x_0" localSheetId="87">'Div 5'!$D$54</definedName>
    <definedName name="OSRRefD22_7x_0" localSheetId="60">'Div 6'!$D$67</definedName>
    <definedName name="OSRRefD22_7x_0" localSheetId="2">Summary!$D$100</definedName>
    <definedName name="OSRRefD22_8x_0" localSheetId="41">'201'!$D$53</definedName>
    <definedName name="OSRRefD22_8x_0" localSheetId="42">'202'!$D$55</definedName>
    <definedName name="OSRRefD22_8x_0" localSheetId="43">'203'!$D$54:$D$56</definedName>
    <definedName name="OSRRefD22_8x_0" localSheetId="44">'204'!$D$57:$D$58</definedName>
    <definedName name="OSRRefD22_8x_0" localSheetId="48">'300'!$D$90</definedName>
    <definedName name="OSRRefD22_8x_0" localSheetId="49">'300 &amp; 317'!$D$96</definedName>
    <definedName name="OSRRefD22_8x_0" localSheetId="50">'301'!$D$57</definedName>
    <definedName name="OSRRefD22_8x_0" localSheetId="52">'307'!$D$67</definedName>
    <definedName name="OSRRefD22_8x_0" localSheetId="53">'308'!$D$69:$D$71</definedName>
    <definedName name="OSRRefD22_8x_0" localSheetId="62">'310'!$D$61</definedName>
    <definedName name="OSRRefD22_8x_0" localSheetId="69">'310 &amp; 491'!$D$63</definedName>
    <definedName name="OSRRefD22_8x_0" localSheetId="54">'311'!$D$69:$D$71</definedName>
    <definedName name="OSRRefD22_8x_0" localSheetId="57">'315'!$D$77:$D$78</definedName>
    <definedName name="OSRRefD22_8x_0" localSheetId="59">'316'!$D$63</definedName>
    <definedName name="OSRRefD22_8x_0" localSheetId="61">'317'!$D$69:$D$70</definedName>
    <definedName name="OSRRefD22_8x_0" localSheetId="64">'321'!$D$58:$D$59</definedName>
    <definedName name="OSRRefD22_8x_0" localSheetId="65">'325'!$D$59</definedName>
    <definedName name="OSRRefD22_8x_0" localSheetId="66">'326'!$D$62</definedName>
    <definedName name="OSRRefD22_8x_0" localSheetId="51">'330'!$D$67</definedName>
    <definedName name="OSRRefD22_8x_0" localSheetId="56">'331'!$D$77:$D$78</definedName>
    <definedName name="OSRRefD22_8x_0" localSheetId="58">'332'!$D$63</definedName>
    <definedName name="OSRRefD22_8x_0" localSheetId="71">'405'!$D$61</definedName>
    <definedName name="OSRRefD22_8x_0" localSheetId="73">'411'!$D$54:$D$56</definedName>
    <definedName name="OSRRefD22_8x_0" localSheetId="77">'415'!$D$61</definedName>
    <definedName name="OSRRefD22_8x_0" localSheetId="78">'418'!$D$58:$D$59</definedName>
    <definedName name="OSRRefD22_8x_0" localSheetId="83">'430'!$D$55</definedName>
    <definedName name="OSRRefD22_8x_0" localSheetId="84">'433'!$D$61</definedName>
    <definedName name="OSRRefD22_8x_0" localSheetId="85">'444'!$D$61</definedName>
    <definedName name="OSRRefD22_8x_0" localSheetId="86">'450'!$D$61</definedName>
    <definedName name="OSRRefD22_8x_0" localSheetId="70">'491'!$D$62</definedName>
    <definedName name="OSRRefD22_8x_0" localSheetId="82">'492'!$D$61</definedName>
    <definedName name="OSRRefD22_8x_0" localSheetId="88">'501'!$D$56</definedName>
    <definedName name="OSRRefD22_8x_0" localSheetId="39">'Div 2'!$D$56</definedName>
    <definedName name="OSRRefD22_8x_0" localSheetId="47">'Div 3'!$D$94</definedName>
    <definedName name="OSRRefD22_8x_0" localSheetId="68">'Div 4'!$D$64</definedName>
    <definedName name="OSRRefD22_8x_0" localSheetId="87">'Div 5'!$D$56</definedName>
    <definedName name="OSRRefD22_8x_0" localSheetId="60">'Div 6'!$D$69:$D$70</definedName>
    <definedName name="OSRRefD22_8x_0" localSheetId="2">Summary!$D$102</definedName>
    <definedName name="OSRRefD22_9x_0" localSheetId="41">'201'!$D$55:$D$57</definedName>
    <definedName name="OSRRefD22_9x_0" localSheetId="42">'202'!$D$57</definedName>
    <definedName name="OSRRefD22_9x_0" localSheetId="43">'203'!$D$58:$D$59</definedName>
    <definedName name="OSRRefD22_9x_0" localSheetId="44">'204'!$D$60</definedName>
    <definedName name="OSRRefD22_9x_0" localSheetId="48">'300'!$D$92</definedName>
    <definedName name="OSRRefD22_9x_0" localSheetId="49">'300 &amp; 317'!$D$98</definedName>
    <definedName name="OSRRefD22_9x_0" localSheetId="50">'301'!$D$59</definedName>
    <definedName name="OSRRefD22_9x_0" localSheetId="52">'307'!$D$69:$D$70</definedName>
    <definedName name="OSRRefD22_9x_0" localSheetId="53">'308'!$D$73</definedName>
    <definedName name="OSRRefD22_9x_0" localSheetId="62">'310'!$D$63</definedName>
    <definedName name="OSRRefD22_9x_0" localSheetId="69">'310 &amp; 491'!$D$65</definedName>
    <definedName name="OSRRefD22_9x_0" localSheetId="54">'311'!$D$73</definedName>
    <definedName name="OSRRefD22_9x_0" localSheetId="57">'315'!$D$80</definedName>
    <definedName name="OSRRefD22_9x_0" localSheetId="59">'316'!$D$65:$D$68</definedName>
    <definedName name="OSRRefD22_9x_0" localSheetId="61">'317'!$D$72</definedName>
    <definedName name="OSRRefD22_9x_0" localSheetId="64">'321'!$D$61:$D$64</definedName>
    <definedName name="OSRRefD22_9x_0" localSheetId="65">'325'!$D$61</definedName>
    <definedName name="OSRRefD22_9x_0" localSheetId="66">'326'!$D$64</definedName>
    <definedName name="OSRRefD22_9x_0" localSheetId="51">'330'!$D$69:$D$70</definedName>
    <definedName name="OSRRefD22_9x_0" localSheetId="56">'331'!$D$80:$D$81</definedName>
    <definedName name="OSRRefD22_9x_0" localSheetId="58">'332'!$D$65:$D$68</definedName>
    <definedName name="OSRRefD22_9x_0" localSheetId="71">'405'!$D$63:$D$64</definedName>
    <definedName name="OSRRefD22_9x_0" localSheetId="73">'411'!$D$58:$D$60</definedName>
    <definedName name="OSRRefD22_9x_0" localSheetId="77">'415'!$D$63</definedName>
    <definedName name="OSRRefD22_9x_0" localSheetId="78">'418'!$D$61:$D$64</definedName>
    <definedName name="OSRRefD22_9x_0" localSheetId="84">'433'!$D$63</definedName>
    <definedName name="OSRRefD22_9x_0" localSheetId="85">'444'!$D$63</definedName>
    <definedName name="OSRRefD22_9x_0" localSheetId="86">'450'!$D$63</definedName>
    <definedName name="OSRRefD22_9x_0" localSheetId="70">'491'!$D$64</definedName>
    <definedName name="OSRRefD22_9x_0" localSheetId="82">'492'!$D$63</definedName>
    <definedName name="OSRRefD22_9x_0" localSheetId="88">'501'!$D$58:$D$60</definedName>
    <definedName name="OSRRefD22_9x_0" localSheetId="39">'Div 2'!$D$58</definedName>
    <definedName name="OSRRefD22_9x_0" localSheetId="47">'Div 3'!$D$96</definedName>
    <definedName name="OSRRefD22_9x_0" localSheetId="68">'Div 4'!$D$66</definedName>
    <definedName name="OSRRefD22_9x_0" localSheetId="87">'Div 5'!$D$58:$D$60</definedName>
    <definedName name="OSRRefD22_9x_0" localSheetId="60">'Div 6'!$D$72</definedName>
    <definedName name="OSRRefD22_9x_0" localSheetId="2">Summary!$D$104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'201'!$D$20:$D$28,'201'!$D$30:$D$39,'201'!$D$41,'201'!$D$43,'201'!$D$45,'201'!$D$47,'201'!$D$49,'201'!$D$51,'201'!$D$53,'201'!$D$55:$D$57,'201'!$D$59:$D$60,'201'!$D$62,'201'!$D$64:$D$65,'201'!$D$67,'201'!$D$69,'201'!$D$71</definedName>
    <definedName name="OSRRefD22x_0" localSheetId="42">'202'!$D$20:$D$28,'202'!$D$30:$D$39,'202'!$D$41,'202'!$D$43,'202'!$D$45,'202'!$D$47,'202'!$D$49,'202'!$D$51:$D$53,'202'!$D$55,'202'!$D$57,'202'!$D$59,'202'!$D$61,'202'!$D$63</definedName>
    <definedName name="OSRRefD22x_0" localSheetId="43">'203'!$D$20:$D$29,'203'!$D$31:$D$40,'203'!$D$42,'203'!$D$44,'203'!$D$46,'203'!$D$48,'203'!$D$50,'203'!$D$52,'203'!$D$54:$D$56,'203'!$D$58:$D$59,'203'!$D$61,'203'!$D$63:$D$66,'203'!$D$68,'203'!$D$70,'203'!$D$72</definedName>
    <definedName name="OSRRefD22x_0" localSheetId="44">'204'!$D$20:$D$28,'204'!$D$30:$D$39,'204'!$D$41,'204'!$D$43:$D$44,'204'!$D$46,'204'!$D$48:$D$51,'204'!$D$53,'204'!$D$55,'204'!$D$57:$D$58,'204'!$D$60,'204'!$D$62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'206'!$D$20:$D$28,'206'!$D$30:$D$39,'206'!$D$41,'206'!$D$43,'206'!$D$45:$D$46,'206'!$D$48,'206'!$D$50:$D$51,'206'!$D$53</definedName>
    <definedName name="OSRRefD22x_0" localSheetId="48">'300'!$D$54:$D$63,'300'!$D$65:$D$74,'300'!$D$76,'300'!$D$78,'300'!$D$80,'300'!$D$82:$D$83,'300'!$D$85:$D$86,'300'!$D$88,'300'!$D$90,'300'!$D$92,'300'!$D$94:$D$95,'300'!$D$97:$D$98,'300'!$D$100,'300'!$D$102,'300'!$D$104,'300'!$D$106,'300'!$D$108:$D$111,'300'!$D$113:$D$116,'300'!$D$118:$D$120,'300'!$D$122:$D$123,'300'!$D$125:$D$131,'300'!$D$133:$D$134,'300'!$D$136,'300'!$D$138:$D$140,'300'!$D$142</definedName>
    <definedName name="OSRRefD22x_0" localSheetId="49">'300 &amp; 317'!$D$60:$D$69,'300 &amp; 317'!$D$71:$D$80,'300 &amp; 317'!$D$82,'300 &amp; 317'!$D$84,'300 &amp; 317'!$D$86,'300 &amp; 317'!$D$88:$D$89,'300 &amp; 317'!$D$91:$D$92,'300 &amp; 317'!$D$94,'300 &amp; 317'!$D$96,'300 &amp; 317'!$D$98,'300 &amp; 317'!$D$100:$D$101,'300 &amp; 317'!$D$103:$D$104,'300 &amp; 317'!$D$106,'300 &amp; 317'!$D$108,'300 &amp; 317'!$D$110,'300 &amp; 317'!$D$112,'300 &amp; 317'!$D$114:$D$117,'300 &amp; 317'!$D$119:$D$122,'300 &amp; 317'!$D$124:$D$126,'300 &amp; 317'!$D$128:$D$129,'300 &amp; 317'!$D$131:$D$137,'300 &amp; 317'!$D$139:$D$140,'300 &amp; 317'!$D$142,'300 &amp; 317'!$D$144:$D$146,'300 &amp; 317'!$D$148</definedName>
    <definedName name="OSRRefD22x_0" localSheetId="50">'301'!$D$21:$D$30,'301'!$D$32:$D$41,'301'!$D$43,'301'!$D$45,'301'!$D$47,'301'!$D$49:$D$50,'301'!$D$52:$D$53,'301'!$D$55,'301'!$D$57,'301'!$D$59,'301'!$D$61,'301'!$D$63,'301'!$D$65,'301'!$D$67,'301'!$D$69,'301'!$D$71:$D$74,'301'!$D$76:$D$77,'301'!$D$79,'301'!$D$81:$D$86,'301'!$D$88,'301'!$D$90,'301'!$D$92:$D$93,'301'!$D$95</definedName>
    <definedName name="OSRRefD22x_0" localSheetId="52">'307'!$D$34:$D$41,'307'!$D$43:$D$52,'307'!$D$54,'307'!$D$56,'307'!$D$58,'307'!$D$60:$D$61,'307'!$D$63,'307'!$D$65,'307'!$D$67,'307'!$D$69:$D$70,'307'!$D$72:$D$73,'307'!$D$75:$D$78,'307'!$D$80</definedName>
    <definedName name="OSRRefD22x_0" localSheetId="53">'308'!$D$35:$D$44,'308'!$D$46:$D$55,'308'!$D$57,'308'!$D$59,'308'!$D$61,'308'!$D$63,'308'!$D$65,'308'!$D$67,'308'!$D$69:$D$71,'308'!$D$73,'308'!$D$75:$D$76,'308'!$D$78:$D$79,'308'!$D$81</definedName>
    <definedName name="OSRRefD22x_0" localSheetId="63">'309'!$D$20,'309'!$D$22,'309'!$D$24,'309'!$D$26,'309'!$D$28:$D$29,'309'!$D$31,'309'!$D$33</definedName>
    <definedName name="OSRRefD22x_0" localSheetId="62">'310'!$D$27:$D$35,'310'!$D$37:$D$46,'310'!$D$48,'310'!$D$50,'310'!$D$52,'310'!$D$54:$D$55,'310'!$D$57,'310'!$D$59,'310'!$D$61,'310'!$D$63,'310'!$D$65,'310'!$D$67:$D$69,'310'!$D$71,'310'!$D$73:$D$75,'310'!$D$77:$D$81,'310'!$D$83:$D$84,'310'!$D$86,'310'!$D$88</definedName>
    <definedName name="OSRRefD22x_0" localSheetId="69">'310 &amp; 491'!$D$29:$D$37,'310 &amp; 491'!$D$39:$D$48,'310 &amp; 491'!$D$50,'310 &amp; 491'!$D$52,'310 &amp; 491'!$D$54,'310 &amp; 491'!$D$56:$D$57,'310 &amp; 491'!$D$59,'310 &amp; 491'!$D$61,'310 &amp; 491'!$D$63,'310 &amp; 491'!$D$65,'310 &amp; 491'!$D$67,'310 &amp; 491'!$D$69,'310 &amp; 491'!$D$71:$D$73,'310 &amp; 491'!$D$75:$D$76,'310 &amp; 491'!$D$78:$D$82,'310 &amp; 491'!$D$84,'310 &amp; 491'!$D$86:$D$95,'310 &amp; 491'!$D$97:$D$98,'310 &amp; 491'!$D$100,'310 &amp; 491'!$D$102,'310 &amp; 491'!$D$104</definedName>
    <definedName name="OSRRefD22x_0" localSheetId="54">'311'!$D$35:$D$44,'311'!$D$46:$D$55,'311'!$D$57,'311'!$D$59,'311'!$D$61,'311'!$D$63,'311'!$D$65,'311'!$D$67,'311'!$D$69:$D$71,'311'!$D$73,'311'!$D$75:$D$76,'311'!$D$78:$D$79,'311'!$D$81</definedName>
    <definedName name="OSRRefD22x_0" localSheetId="57">'315'!$D$44:$D$52,'315'!$D$54:$D$63,'315'!$D$65,'315'!$D$67,'315'!$D$69,'315'!$D$71,'315'!$D$73,'315'!$D$75,'315'!$D$77:$D$78,'315'!$D$80,'315'!$D$82,'315'!$D$84,'315'!$D$86:$D$87,'315'!$D$89:$D$91,'315'!$D$93:$D$94,'315'!$D$96:$D$99,'315'!$D$101,'315'!$D$103</definedName>
    <definedName name="OSRRefD22x_0" localSheetId="59">'316'!$D$27:$D$35,'316'!$D$37:$D$46,'316'!$D$48,'316'!$D$50,'316'!$D$52,'316'!$D$54:$D$55,'316'!$D$57,'316'!$D$59:$D$61,'316'!$D$63,'316'!$D$65:$D$68,'316'!$D$70</definedName>
    <definedName name="OSRRefD22x_0" localSheetId="61">'317'!$D$35:$D$44,'317'!$D$46:$D$55,'317'!$D$57,'317'!$D$59,'317'!$D$61,'317'!$D$63,'317'!$D$65,'317'!$D$67,'317'!$D$69:$D$70,'317'!$D$72</definedName>
    <definedName name="OSRRefD22x_0" localSheetId="64">'321'!$D$24:$D$32,'321'!$D$34:$D$43,'321'!$D$45,'321'!$D$47,'321'!$D$49,'321'!$D$51,'321'!$D$53:$D$54,'321'!$D$56,'321'!$D$58:$D$59,'321'!$D$61:$D$64,'321'!$D$66,'321'!$D$68</definedName>
    <definedName name="OSRRefD22x_0" localSheetId="65">'325'!$D$25:$D$33,'325'!$D$35:$D$44,'325'!$D$46,'325'!$D$48,'325'!$D$50,'325'!$D$52:$D$53,'325'!$D$55,'325'!$D$57,'325'!$D$59,'325'!$D$61,'325'!$D$63,'325'!$D$65:$D$67,'325'!$D$69:$D$71,'325'!$D$73:$D$77,'325'!$D$79:$D$80,'325'!$D$82</definedName>
    <definedName name="OSRRefD22x_0" localSheetId="66">'326'!$D$28:$D$36,'326'!$D$38:$D$47,'326'!$D$49,'326'!$D$51,'326'!$D$53,'326'!$D$55,'326'!$D$57:$D$58,'326'!$D$60,'326'!$D$62,'326'!$D$64,'326'!$D$66,'326'!$D$68:$D$69,'326'!$D$71:$D$72,'326'!$D$74:$D$75,'326'!$D$77:$D$79,'326'!$D$81,'326'!$D$83:$D$84,'326'!$D$86</definedName>
    <definedName name="OSRRefD22x_0" localSheetId="67">'327'!$D$26</definedName>
    <definedName name="OSRRefD22x_0" localSheetId="51">'330'!$D$34:$D$41,'330'!$D$43:$D$52,'330'!$D$54,'330'!$D$56,'330'!$D$58,'330'!$D$60:$D$61,'330'!$D$63,'330'!$D$65,'330'!$D$67,'330'!$D$69:$D$70,'330'!$D$72:$D$73,'330'!$D$75:$D$78,'330'!$D$80</definedName>
    <definedName name="OSRRefD22x_0" localSheetId="56">'331'!$D$44:$D$52,'331'!$D$54:$D$63,'331'!$D$65,'331'!$D$67,'331'!$D$69,'331'!$D$71,'331'!$D$73,'331'!$D$75,'331'!$D$77:$D$78,'331'!$D$80:$D$81,'331'!$D$83,'331'!$D$85,'331'!$D$87,'331'!$D$89,'331'!$D$91:$D$92,'331'!$D$94:$D$96,'331'!$D$98:$D$99,'331'!$D$101:$D$102,'331'!$D$104:$D$108,'331'!$D$110,'331'!$D$112:$D$113,'331'!$D$115</definedName>
    <definedName name="OSRRefD22x_0" localSheetId="58">'332'!$D$27:$D$35,'332'!$D$37:$D$46,'332'!$D$48,'332'!$D$50,'332'!$D$52,'332'!$D$54:$D$55,'332'!$D$57,'332'!$D$59:$D$61,'332'!$D$63,'332'!$D$65:$D$68,'332'!$D$70</definedName>
    <definedName name="OSRRefD22x_0" localSheetId="71">'405'!$D$27:$D$35,'405'!$D$37:$D$46,'405'!$D$48,'405'!$D$50,'405'!$D$52,'405'!$D$54:$D$55,'405'!$D$57,'405'!$D$59,'405'!$D$61,'405'!$D$63:$D$64,'405'!$D$66:$D$69,'405'!$D$71,'405'!$D$73:$D$80,'405'!$D$82,'405'!$D$84,'405'!$D$86</definedName>
    <definedName name="OSRRefD22x_0" localSheetId="72">'406'!$D$20,'406'!$D$22</definedName>
    <definedName name="OSRRefD22x_0" localSheetId="73">'411'!$D$20:$D$28,'411'!$D$30:$D$39,'411'!$D$41,'411'!$D$43:$D$44,'411'!$D$46,'411'!$D$48,'411'!$D$50,'411'!$D$52,'411'!$D$54:$D$56,'411'!$D$58:$D$60,'411'!$D$62,'411'!$D$64,'411'!$D$66,'411'!$D$68,'411'!$D$70</definedName>
    <definedName name="OSRRefD22x_0" localSheetId="74">'412'!$D$20,'412'!$D$22,'412'!$D$24,'412'!$D$26</definedName>
    <definedName name="OSRRefD22x_0" localSheetId="75">'413'!$D$20,'413'!$D$22,'413'!$D$24</definedName>
    <definedName name="OSRRefD22x_0" localSheetId="76">'414'!$D$20,'414'!$D$22,'414'!$D$24</definedName>
    <definedName name="OSRRefD22x_0" localSheetId="77">'415'!$D$27:$D$35,'415'!$D$37:$D$46,'415'!$D$48,'415'!$D$50,'415'!$D$52,'415'!$D$54:$D$55,'415'!$D$57,'415'!$D$59,'415'!$D$61,'415'!$D$63,'415'!$D$65,'415'!$D$67:$D$68,'415'!$D$70:$D$73,'415'!$D$75,'415'!$D$77:$D$82,'415'!$D$84:$D$85,'415'!$D$87,'415'!$D$89</definedName>
    <definedName name="OSRRefD22x_0" localSheetId="78">'418'!$D$24:$D$32,'418'!$D$34:$D$43,'418'!$D$45,'418'!$D$47,'418'!$D$49:$D$50,'418'!$D$52,'418'!$D$54,'418'!$D$56,'418'!$D$58:$D$59,'418'!$D$61:$D$64,'418'!$D$66,'418'!$D$68:$D$75,'418'!$D$77:$D$78,'418'!$D$80,'418'!$D$82</definedName>
    <definedName name="OSRRefD22x_0" localSheetId="79">'423'!$D$20:$D$27,'423'!$D$29:$D$38,'423'!$D$40,'423'!$D$42,'423'!$D$44,'423'!$D$46</definedName>
    <definedName name="OSRRefD22x_0" localSheetId="80">'424'!$D$20,'424'!$D$22,'424'!$D$24</definedName>
    <definedName name="OSRRefD22x_0" localSheetId="81">'425'!$D$22,'425'!$D$24,'425'!$D$26,'425'!$D$28,'425'!$D$30,'425'!$D$32</definedName>
    <definedName name="OSRRefD22x_0" localSheetId="83">'430'!$D$20:$D$28,'430'!$D$30:$D$39,'430'!$D$41,'430'!$D$43,'430'!$D$45,'430'!$D$47:$D$48,'430'!$D$50:$D$51,'430'!$D$53,'430'!$D$55</definedName>
    <definedName name="OSRRefD22x_0" localSheetId="84">'433'!$D$27:$D$36,'433'!$D$38:$D$47,'433'!$D$49,'433'!$D$51,'433'!$D$53,'433'!$D$55,'433'!$D$57,'433'!$D$59,'433'!$D$61,'433'!$D$63,'433'!$D$65,'433'!$D$67:$D$69,'433'!$D$71:$D$74,'433'!$D$76:$D$83,'433'!$D$85</definedName>
    <definedName name="OSRRefD22x_0" localSheetId="85">'444'!$D$27:$D$36,'444'!$D$38:$D$47,'444'!$D$49,'444'!$D$51,'444'!$D$53,'444'!$D$55,'444'!$D$57,'444'!$D$59,'444'!$D$61,'444'!$D$63,'444'!$D$65,'444'!$D$67:$D$68,'444'!$D$70:$D$73,'444'!$D$75,'444'!$D$77:$D$84,'444'!$D$86,'444'!$D$88</definedName>
    <definedName name="OSRRefD22x_0" localSheetId="86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70">'491'!$D$28:$D$36,'491'!$D$38:$D$47,'491'!$D$49,'491'!$D$51,'491'!$D$53,'491'!$D$55:$D$56,'491'!$D$58,'491'!$D$60,'491'!$D$62,'491'!$D$64,'491'!$D$66,'491'!$D$68,'491'!$D$70:$D$72,'491'!$D$74,'491'!$D$76:$D$80,'491'!$D$82,'491'!$D$84:$D$92,'491'!$D$94:$D$95,'491'!$D$97,'491'!$D$99,'491'!$D$101</definedName>
    <definedName name="OSRRefD22x_0" localSheetId="82">'492'!$D$27:$D$36,'492'!$D$38:$D$47,'492'!$D$49,'492'!$D$51,'492'!$D$53,'492'!$D$55,'492'!$D$57,'492'!$D$59,'492'!$D$61,'492'!$D$63,'492'!$D$65,'492'!$D$67,'492'!$D$69:$D$71,'492'!$D$73:$D$76,'492'!$D$78,'492'!$D$80:$D$87,'492'!$D$89:$D$90,'492'!$D$92,'492'!$D$94:$D$95</definedName>
    <definedName name="OSRRefD22x_0" localSheetId="88">'501'!$D$21:$D$30,'501'!$D$32:$D$41,'501'!$D$43,'501'!$D$45,'501'!$D$47,'501'!$D$49:$D$50,'501'!$D$52,'501'!$D$54,'501'!$D$56,'501'!$D$58:$D$60,'501'!$D$62,'501'!$D$64:$D$66,'501'!$D$68,'501'!$D$70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2'!$D$77:$D$78,'Div 2'!$D$80:$D$85,'Div 2'!$D$87:$D$88,'Div 2'!$D$90,'Div 2'!$D$92:$D$93</definedName>
    <definedName name="OSRRefD22x_0" localSheetId="47">'Div 3'!$D$58:$D$67,'Div 3'!$D$69:$D$78,'Div 3'!$D$80,'Div 3'!$D$82,'Div 3'!$D$84,'Div 3'!$D$86:$D$87,'Div 3'!$D$89:$D$90,'Div 3'!$D$92,'Div 3'!$D$94,'Div 3'!$D$96,'Div 3'!$D$98:$D$99,'Div 3'!$D$101:$D$102,'Div 3'!$D$104,'Div 3'!$D$106,'Div 3'!$D$108,'Div 3'!$D$110,'Div 3'!$D$112,'Div 3'!$D$114:$D$117,'Div 3'!$D$119:$D$122,'Div 3'!$D$124:$D$127,'Div 3'!$D$129:$D$130,'Div 3'!$D$132:$D$138,'Div 3'!$D$140:$D$141,'Div 3'!$D$143,'Div 3'!$D$145:$D$147,'Div 3'!$D$149</definedName>
    <definedName name="OSRRefD22x_0" localSheetId="68">'Div 4'!$D$29:$D$38,'Div 4'!$D$40:$D$49,'Div 4'!$D$51,'Div 4'!$D$53,'Div 4'!$D$55,'Div 4'!$D$57:$D$58,'Div 4'!$D$60,'Div 4'!$D$62,'Div 4'!$D$64,'Div 4'!$D$66,'Div 4'!$D$68,'Div 4'!$D$70,'Div 4'!$D$72,'Div 4'!$D$74,'Div 4'!$D$76:$D$78,'Div 4'!$D$80,'Div 4'!$D$82:$D$86,'Div 4'!$D$88:$D$89,'Div 4'!$D$91:$D$100,'Div 4'!$D$102:$D$103,'Div 4'!$D$105,'Div 4'!$D$107:$D$108,'Div 4'!$D$110</definedName>
    <definedName name="OSRRefD22x_0" localSheetId="87">'Div 5'!$D$21:$D$30,'Div 5'!$D$32:$D$41,'Div 5'!$D$43,'Div 5'!$D$45,'Div 5'!$D$47,'Div 5'!$D$49:$D$50,'Div 5'!$D$52,'Div 5'!$D$54,'Div 5'!$D$56,'Div 5'!$D$58:$D$60,'Div 5'!$D$62,'Div 5'!$D$64:$D$66,'Div 5'!$D$68,'Div 5'!$D$70</definedName>
    <definedName name="OSRRefD22x_0" localSheetId="60">'Div 6'!$D$35:$D$44,'Div 6'!$D$46:$D$55,'Div 6'!$D$57,'Div 6'!$D$59,'Div 6'!$D$61,'Div 6'!$D$63,'Div 6'!$D$65,'Div 6'!$D$67,'Div 6'!$D$69:$D$70,'Div 6'!$D$72</definedName>
    <definedName name="OSRRefD22x_0" localSheetId="2">Summary!$D$66:$D$75,Summary!$D$77:$D$86,Summary!$D$88,Summary!$D$90,Summary!$D$92,Summary!$D$94:$D$95,Summary!$D$97:$D$98,Summary!$D$100,Summary!$D$102,Summary!$D$104,Summary!$D$106:$D$107,Summary!$D$109:$D$110,Summary!$D$112,Summary!$D$114,Summary!$D$116,Summary!$D$118,Summary!$D$120,Summary!$D$122,Summary!$D$124:$D$127,Summary!$D$129:$D$132,Summary!$D$134:$D$138,Summary!$D$140:$D$141,Summary!$D$143:$D$152,Summary!$D$154:$D$155,Summary!$D$157,Summary!$D$159:$D$161,Summary!$D$163</definedName>
    <definedName name="OSRRefD25x_0" localSheetId="48">'300'!$D$145:$D$149</definedName>
    <definedName name="OSRRefD25x_0" localSheetId="49">'300 &amp; 317'!$D$151:$D$157</definedName>
    <definedName name="OSRRefD25x_0" localSheetId="50">'301'!$D$98:$D$99</definedName>
    <definedName name="OSRRefD25x_0" localSheetId="53">'308'!$D$84:$D$87</definedName>
    <definedName name="OSRRefD25x_0" localSheetId="69">'310 &amp; 491'!$D$107:$D$109</definedName>
    <definedName name="OSRRefD25x_0" localSheetId="54">'311'!$D$84:$D$87</definedName>
    <definedName name="OSRRefD25x_0" localSheetId="57">'315'!$D$106:$D$108</definedName>
    <definedName name="OSRRefD25x_0" localSheetId="59">'316'!$D$73</definedName>
    <definedName name="OSRRefD25x_0" localSheetId="61">'317'!$D$75:$D$77</definedName>
    <definedName name="OSRRefD25x_0" localSheetId="56">'331'!$D$118:$D$120</definedName>
    <definedName name="OSRRefD25x_0" localSheetId="58">'332'!$D$73</definedName>
    <definedName name="OSRRefD25x_0" localSheetId="71">'405'!$D$89</definedName>
    <definedName name="OSRRefD25x_0" localSheetId="73">'411'!$D$73</definedName>
    <definedName name="OSRRefD25x_0" localSheetId="77">'415'!$D$92</definedName>
    <definedName name="OSRRefD25x_0" localSheetId="78">'418'!$D$85</definedName>
    <definedName name="OSRRefD25x_0" localSheetId="79">'423'!$D$49</definedName>
    <definedName name="OSRRefD25x_0" localSheetId="70">'491'!$D$104:$D$106</definedName>
    <definedName name="OSRRefD25x_0" localSheetId="88">'501'!$D$73</definedName>
    <definedName name="OSRRefD25x_0" localSheetId="47">'Div 3'!$D$152:$D$156</definedName>
    <definedName name="OSRRefD25x_0" localSheetId="68">'Div 4'!$D$113:$D$115</definedName>
    <definedName name="OSRRefD25x_0" localSheetId="87">'Div 5'!$D$73</definedName>
    <definedName name="OSRRefD25x_0" localSheetId="60">'Div 6'!$D$75:$D$77</definedName>
    <definedName name="OSRRefD25x_0" localSheetId="2">Summary!$D$166:$D$173</definedName>
    <definedName name="OSRRefH13x_0" localSheetId="48">'300'!$H$13:$H$19</definedName>
    <definedName name="OSRRefH13x_0" localSheetId="49">'300 &amp; 317'!$H$13:$H$19</definedName>
    <definedName name="OSRRefH13x_0" localSheetId="52">'307'!$H$13:$H$16</definedName>
    <definedName name="OSRRefH13x_0" localSheetId="53">'308'!$H$13:$H$17</definedName>
    <definedName name="OSRRefH13x_0" localSheetId="62">'310'!$H$13:$H$16</definedName>
    <definedName name="OSRRefH13x_0" localSheetId="69">'310 &amp; 491'!$H$13:$H$18</definedName>
    <definedName name="OSRRefH13x_0" localSheetId="54">'311'!$H$13:$H$17</definedName>
    <definedName name="OSRRefH13x_0" localSheetId="57">'315'!$H$13:$H$17</definedName>
    <definedName name="OSRRefH13x_0" localSheetId="59">'316'!$H$13:$H$17</definedName>
    <definedName name="OSRRefH13x_0" localSheetId="61">'317'!$H$13:$H$17</definedName>
    <definedName name="OSRRefH13x_0" localSheetId="64">'321'!$H$13:$H$14</definedName>
    <definedName name="OSRRefH13x_0" localSheetId="55">'324'!$H$13:$H$14</definedName>
    <definedName name="OSRRefH13x_0" localSheetId="65">'325'!$H$13:$H$14</definedName>
    <definedName name="OSRRefH13x_0" localSheetId="66">'326'!$H$13:$H$16</definedName>
    <definedName name="OSRRefH13x_0" localSheetId="67">'327'!$H$13:$H$15</definedName>
    <definedName name="OSRRefH13x_0" localSheetId="51">'330'!$H$13:$H$16</definedName>
    <definedName name="OSRRefH13x_0" localSheetId="56">'331'!$H$13:$H$17</definedName>
    <definedName name="OSRRefH13x_0" localSheetId="58">'332'!$H$13:$H$17</definedName>
    <definedName name="OSRRefH13x_0" localSheetId="71">'405'!$H$13:$H$16</definedName>
    <definedName name="OSRRefH13x_0" localSheetId="77">'415'!$H$13:$H$16</definedName>
    <definedName name="OSRRefH13x_0" localSheetId="78">'418'!$H$13:$H$14</definedName>
    <definedName name="OSRRefH13x_0" localSheetId="81">'425'!$H$13</definedName>
    <definedName name="OSRRefH13x_0" localSheetId="84">'433'!$H$13:$H$16</definedName>
    <definedName name="OSRRefH13x_0" localSheetId="85">'444'!$H$13:$H$16</definedName>
    <definedName name="OSRRefH13x_0" localSheetId="86">'450'!$H$13:$H$16</definedName>
    <definedName name="OSRRefH13x_0" localSheetId="70">'491'!$H$13:$H$17</definedName>
    <definedName name="OSRRefH13x_0" localSheetId="82">'492'!$H$13:$H$16</definedName>
    <definedName name="OSRRefH13x_0" localSheetId="88">'501'!$H$13</definedName>
    <definedName name="OSRRefH13x_0" localSheetId="47">'Div 3'!$H$13:$H$21</definedName>
    <definedName name="OSRRefH13x_0" localSheetId="68">'Div 4'!$H$13:$H$18</definedName>
    <definedName name="OSRRefH13x_0" localSheetId="87">'Div 5'!$H$13</definedName>
    <definedName name="OSRRefH13x_0" localSheetId="60">'Div 6'!$H$13:$H$17</definedName>
    <definedName name="OSRRefH13x_0" localSheetId="2">Summary!$H$13:$H$23</definedName>
    <definedName name="OSRRefH16x_0" localSheetId="48">'300'!$H$22:$H$48</definedName>
    <definedName name="OSRRefH16x_0" localSheetId="49">'300 &amp; 317'!$H$22:$H$54</definedName>
    <definedName name="OSRRefH16x_0" localSheetId="50">'301'!$H$15</definedName>
    <definedName name="OSRRefH16x_0" localSheetId="52">'307'!$H$19:$H$28</definedName>
    <definedName name="OSRRefH16x_0" localSheetId="53">'308'!$H$20:$H$29</definedName>
    <definedName name="OSRRefH16x_0" localSheetId="62">'310'!$H$19:$H$21</definedName>
    <definedName name="OSRRefH16x_0" localSheetId="69">'310 &amp; 491'!$H$21:$H$23</definedName>
    <definedName name="OSRRefH16x_0" localSheetId="54">'311'!$H$20:$H$29</definedName>
    <definedName name="OSRRefH16x_0" localSheetId="57">'315'!$H$20:$H$38</definedName>
    <definedName name="OSRRefH16x_0" localSheetId="59">'316'!$H$20:$H$21</definedName>
    <definedName name="OSRRefH16x_0" localSheetId="61">'317'!$H$20:$H$29</definedName>
    <definedName name="OSRRefH16x_0" localSheetId="64">'321'!$H$17:$H$18</definedName>
    <definedName name="OSRRefH16x_0" localSheetId="55">'324'!$H$17</definedName>
    <definedName name="OSRRefH16x_0" localSheetId="65">'325'!$H$17:$H$19</definedName>
    <definedName name="OSRRefH16x_0" localSheetId="66">'326'!$H$19:$H$22</definedName>
    <definedName name="OSRRefH16x_0" localSheetId="67">'327'!$H$18:$H$20</definedName>
    <definedName name="OSRRefH16x_0" localSheetId="51">'330'!$H$19:$H$28</definedName>
    <definedName name="OSRRefH16x_0" localSheetId="56">'331'!$H$20:$H$38</definedName>
    <definedName name="OSRRefH16x_0" localSheetId="58">'332'!$H$20:$H$21</definedName>
    <definedName name="OSRRefH16x_0" localSheetId="71">'405'!$H$19:$H$21</definedName>
    <definedName name="OSRRefH16x_0" localSheetId="77">'415'!$H$19:$H$21</definedName>
    <definedName name="OSRRefH16x_0" localSheetId="78">'418'!$H$17:$H$18</definedName>
    <definedName name="OSRRefH16x_0" localSheetId="81">'425'!$H$16</definedName>
    <definedName name="OSRRefH16x_0" localSheetId="84">'433'!$H$19:$H$21</definedName>
    <definedName name="OSRRefH16x_0" localSheetId="85">'444'!$H$19:$H$21</definedName>
    <definedName name="OSRRefH16x_0" localSheetId="86">'450'!$H$19:$H$21</definedName>
    <definedName name="OSRRefH16x_0" localSheetId="70">'491'!$H$20:$H$22</definedName>
    <definedName name="OSRRefH16x_0" localSheetId="82">'492'!$H$19:$H$21</definedName>
    <definedName name="OSRRefH16x_0" localSheetId="47">'Div 3'!$H$24:$H$52</definedName>
    <definedName name="OSRRefH16x_0" localSheetId="68">'Div 4'!$H$21:$H$23</definedName>
    <definedName name="OSRRefH16x_0" localSheetId="60">'Div 6'!$H$20:$H$29</definedName>
    <definedName name="OSRRefH16x_0" localSheetId="2">Summary!$H$26:$H$60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'300'!$H$54:$H$63</definedName>
    <definedName name="OSRRefH22_0x_0" localSheetId="49">'300 &amp; 317'!$H$60:$H$69</definedName>
    <definedName name="OSRRefH22_0x_0" localSheetId="50">'301'!$H$21:$H$30</definedName>
    <definedName name="OSRRefH22_0x_0" localSheetId="52">'307'!$H$34:$H$41</definedName>
    <definedName name="OSRRefH22_0x_0" localSheetId="53">'308'!$H$35:$H$44</definedName>
    <definedName name="OSRRefH22_0x_0" localSheetId="63">'309'!$H$20</definedName>
    <definedName name="OSRRefH22_0x_0" localSheetId="62">'310'!$H$27:$H$35</definedName>
    <definedName name="OSRRefH22_0x_0" localSheetId="69">'310 &amp; 491'!$H$29:$H$37</definedName>
    <definedName name="OSRRefH22_0x_0" localSheetId="54">'311'!$H$35:$H$44</definedName>
    <definedName name="OSRRefH22_0x_0" localSheetId="57">'315'!$H$44:$H$52</definedName>
    <definedName name="OSRRefH22_0x_0" localSheetId="59">'316'!$H$27:$H$35</definedName>
    <definedName name="OSRRefH22_0x_0" localSheetId="61">'317'!$H$35:$H$44</definedName>
    <definedName name="OSRRefH22_0x_0" localSheetId="64">'321'!$H$24:$H$32</definedName>
    <definedName name="OSRRefH22_0x_0" localSheetId="65">'325'!$H$25:$H$33</definedName>
    <definedName name="OSRRefH22_0x_0" localSheetId="66">'326'!$H$28:$H$36</definedName>
    <definedName name="OSRRefH22_0x_0" localSheetId="67">'327'!$H$26</definedName>
    <definedName name="OSRRefH22_0x_0" localSheetId="51">'330'!$H$34:$H$41</definedName>
    <definedName name="OSRRefH22_0x_0" localSheetId="56">'331'!$H$44:$H$52</definedName>
    <definedName name="OSRRefH22_0x_0" localSheetId="58">'332'!$H$27:$H$35</definedName>
    <definedName name="OSRRefH22_0x_0" localSheetId="71">'405'!$H$27:$H$35</definedName>
    <definedName name="OSRRefH22_0x_0" localSheetId="72">'406'!$H$20</definedName>
    <definedName name="OSRRefH22_0x_0" localSheetId="73">'411'!$H$20:$H$28</definedName>
    <definedName name="OSRRefH22_0x_0" localSheetId="74">'412'!$H$20</definedName>
    <definedName name="OSRRefH22_0x_0" localSheetId="75">'413'!$H$20</definedName>
    <definedName name="OSRRefH22_0x_0" localSheetId="76">'414'!$H$20</definedName>
    <definedName name="OSRRefH22_0x_0" localSheetId="77">'415'!$H$27:$H$35</definedName>
    <definedName name="OSRRefH22_0x_0" localSheetId="78">'418'!$H$24:$H$32</definedName>
    <definedName name="OSRRefH22_0x_0" localSheetId="79">'423'!$H$20:$H$27</definedName>
    <definedName name="OSRRefH22_0x_0" localSheetId="80">'424'!$H$20</definedName>
    <definedName name="OSRRefH22_0x_0" localSheetId="81">'425'!$H$22</definedName>
    <definedName name="OSRRefH22_0x_0" localSheetId="83">'430'!$H$20:$H$28</definedName>
    <definedName name="OSRRefH22_0x_0" localSheetId="84">'433'!$H$27:$H$36</definedName>
    <definedName name="OSRRefH22_0x_0" localSheetId="85">'444'!$H$27:$H$36</definedName>
    <definedName name="OSRRefH22_0x_0" localSheetId="86">'450'!$H$27:$H$36</definedName>
    <definedName name="OSRRefH22_0x_0" localSheetId="70">'491'!$H$28:$H$36</definedName>
    <definedName name="OSRRefH22_0x_0" localSheetId="82">'492'!$H$27:$H$36</definedName>
    <definedName name="OSRRefH22_0x_0" localSheetId="88">'501'!$H$21:$H$30</definedName>
    <definedName name="OSRRefH22_0x_0" localSheetId="39">'Div 2'!$H$20:$H$30</definedName>
    <definedName name="OSRRefH22_0x_0" localSheetId="47">'Div 3'!$H$58:$H$67</definedName>
    <definedName name="OSRRefH22_0x_0" localSheetId="68">'Div 4'!$H$29:$H$38</definedName>
    <definedName name="OSRRefH22_0x_0" localSheetId="87">'Div 5'!$H$21:$H$30</definedName>
    <definedName name="OSRRefH22_0x_0" localSheetId="60">'Div 6'!$H$35:$H$44</definedName>
    <definedName name="OSRRefH22_0x_0" localSheetId="2">Summary!$H$66:$H$75</definedName>
    <definedName name="OSRRefH22_10x_0" localSheetId="41">'201'!$H$59:$H$60</definedName>
    <definedName name="OSRRefH22_10x_0" localSheetId="42">'202'!$H$59</definedName>
    <definedName name="OSRRefH22_10x_0" localSheetId="43">'203'!$H$61</definedName>
    <definedName name="OSRRefH22_10x_0" localSheetId="44">'204'!$H$62</definedName>
    <definedName name="OSRRefH22_10x_0" localSheetId="48">'300'!$H$94:$H$95</definedName>
    <definedName name="OSRRefH22_10x_0" localSheetId="49">'300 &amp; 317'!$H$100:$H$101</definedName>
    <definedName name="OSRRefH22_10x_0" localSheetId="50">'301'!$H$61</definedName>
    <definedName name="OSRRefH22_10x_0" localSheetId="52">'307'!$H$72:$H$73</definedName>
    <definedName name="OSRRefH22_10x_0" localSheetId="53">'308'!$H$75:$H$76</definedName>
    <definedName name="OSRRefH22_10x_0" localSheetId="62">'310'!$H$65</definedName>
    <definedName name="OSRRefH22_10x_0" localSheetId="69">'310 &amp; 491'!$H$67</definedName>
    <definedName name="OSRRefH22_10x_0" localSheetId="54">'311'!$H$75:$H$76</definedName>
    <definedName name="OSRRefH22_10x_0" localSheetId="57">'315'!$H$82</definedName>
    <definedName name="OSRRefH22_10x_0" localSheetId="59">'316'!$H$70</definedName>
    <definedName name="OSRRefH22_10x_0" localSheetId="64">'321'!$H$66</definedName>
    <definedName name="OSRRefH22_10x_0" localSheetId="65">'325'!$H$63</definedName>
    <definedName name="OSRRefH22_10x_0" localSheetId="66">'326'!$H$66</definedName>
    <definedName name="OSRRefH22_10x_0" localSheetId="51">'330'!$H$72:$H$73</definedName>
    <definedName name="OSRRefH22_10x_0" localSheetId="56">'331'!$H$83</definedName>
    <definedName name="OSRRefH22_10x_0" localSheetId="58">'332'!$H$70</definedName>
    <definedName name="OSRRefH22_10x_0" localSheetId="71">'405'!$H$66:$H$69</definedName>
    <definedName name="OSRRefH22_10x_0" localSheetId="73">'411'!$H$62</definedName>
    <definedName name="OSRRefH22_10x_0" localSheetId="77">'415'!$H$65</definedName>
    <definedName name="OSRRefH22_10x_0" localSheetId="78">'418'!$H$66</definedName>
    <definedName name="OSRRefH22_10x_0" localSheetId="84">'433'!$H$65</definedName>
    <definedName name="OSRRefH22_10x_0" localSheetId="85">'444'!$H$65</definedName>
    <definedName name="OSRRefH22_10x_0" localSheetId="86">'450'!$H$65</definedName>
    <definedName name="OSRRefH22_10x_0" localSheetId="70">'491'!$H$66</definedName>
    <definedName name="OSRRefH22_10x_0" localSheetId="82">'492'!$H$65</definedName>
    <definedName name="OSRRefH22_10x_0" localSheetId="88">'501'!$H$62</definedName>
    <definedName name="OSRRefH22_10x_0" localSheetId="39">'Div 2'!$H$60</definedName>
    <definedName name="OSRRefH22_10x_0" localSheetId="47">'Div 3'!$H$98:$H$99</definedName>
    <definedName name="OSRRefH22_10x_0" localSheetId="68">'Div 4'!$H$68</definedName>
    <definedName name="OSRRefH22_10x_0" localSheetId="87">'Div 5'!$H$62</definedName>
    <definedName name="OSRRefH22_10x_0" localSheetId="2">Summary!$H$106:$H$107</definedName>
    <definedName name="OSRRefH22_11x_0" localSheetId="41">'201'!$H$62</definedName>
    <definedName name="OSRRefH22_11x_0" localSheetId="42">'202'!$H$61</definedName>
    <definedName name="OSRRefH22_11x_0" localSheetId="43">'203'!$H$63:$H$66</definedName>
    <definedName name="OSRRefH22_11x_0" localSheetId="48">'300'!$H$97:$H$98</definedName>
    <definedName name="OSRRefH22_11x_0" localSheetId="49">'300 &amp; 317'!$H$103:$H$104</definedName>
    <definedName name="OSRRefH22_11x_0" localSheetId="50">'301'!$H$63</definedName>
    <definedName name="OSRRefH22_11x_0" localSheetId="52">'307'!$H$75:$H$78</definedName>
    <definedName name="OSRRefH22_11x_0" localSheetId="53">'308'!$H$78:$H$79</definedName>
    <definedName name="OSRRefH22_11x_0" localSheetId="62">'310'!$H$67:$H$69</definedName>
    <definedName name="OSRRefH22_11x_0" localSheetId="69">'310 &amp; 491'!$H$69</definedName>
    <definedName name="OSRRefH22_11x_0" localSheetId="54">'311'!$H$78:$H$79</definedName>
    <definedName name="OSRRefH22_11x_0" localSheetId="57">'315'!$H$84</definedName>
    <definedName name="OSRRefH22_11x_0" localSheetId="64">'321'!$H$68</definedName>
    <definedName name="OSRRefH22_11x_0" localSheetId="65">'325'!$H$65:$H$67</definedName>
    <definedName name="OSRRefH22_11x_0" localSheetId="66">'326'!$H$68:$H$69</definedName>
    <definedName name="OSRRefH22_11x_0" localSheetId="51">'330'!$H$75:$H$78</definedName>
    <definedName name="OSRRefH22_11x_0" localSheetId="56">'331'!$H$85</definedName>
    <definedName name="OSRRefH22_11x_0" localSheetId="71">'405'!$H$71</definedName>
    <definedName name="OSRRefH22_11x_0" localSheetId="73">'411'!$H$64</definedName>
    <definedName name="OSRRefH22_11x_0" localSheetId="77">'415'!$H$67:$H$68</definedName>
    <definedName name="OSRRefH22_11x_0" localSheetId="78">'418'!$H$68:$H$75</definedName>
    <definedName name="OSRRefH22_11x_0" localSheetId="84">'433'!$H$67:$H$69</definedName>
    <definedName name="OSRRefH22_11x_0" localSheetId="85">'444'!$H$67:$H$68</definedName>
    <definedName name="OSRRefH22_11x_0" localSheetId="86">'450'!$H$67:$H$69</definedName>
    <definedName name="OSRRefH22_11x_0" localSheetId="70">'491'!$H$68</definedName>
    <definedName name="OSRRefH22_11x_0" localSheetId="82">'492'!$H$67</definedName>
    <definedName name="OSRRefH22_11x_0" localSheetId="88">'501'!$H$64:$H$66</definedName>
    <definedName name="OSRRefH22_11x_0" localSheetId="39">'Div 2'!$H$62</definedName>
    <definedName name="OSRRefH22_11x_0" localSheetId="47">'Div 3'!$H$101:$H$102</definedName>
    <definedName name="OSRRefH22_11x_0" localSheetId="68">'Div 4'!$H$70</definedName>
    <definedName name="OSRRefH22_11x_0" localSheetId="87">'Div 5'!$H$64:$H$66</definedName>
    <definedName name="OSRRefH22_11x_0" localSheetId="2">Summary!$H$109:$H$110</definedName>
    <definedName name="OSRRefH22_12x_0" localSheetId="41">'201'!$H$64:$H$65</definedName>
    <definedName name="OSRRefH22_12x_0" localSheetId="42">'202'!$H$63</definedName>
    <definedName name="OSRRefH22_12x_0" localSheetId="43">'203'!$H$68</definedName>
    <definedName name="OSRRefH22_12x_0" localSheetId="48">'300'!$H$100</definedName>
    <definedName name="OSRRefH22_12x_0" localSheetId="49">'300 &amp; 317'!$H$106</definedName>
    <definedName name="OSRRefH22_12x_0" localSheetId="50">'301'!$H$65</definedName>
    <definedName name="OSRRefH22_12x_0" localSheetId="52">'307'!$H$80</definedName>
    <definedName name="OSRRefH22_12x_0" localSheetId="53">'308'!$H$81</definedName>
    <definedName name="OSRRefH22_12x_0" localSheetId="62">'310'!$H$71</definedName>
    <definedName name="OSRRefH22_12x_0" localSheetId="69">'310 &amp; 491'!$H$71:$H$73</definedName>
    <definedName name="OSRRefH22_12x_0" localSheetId="54">'311'!$H$81</definedName>
    <definedName name="OSRRefH22_12x_0" localSheetId="57">'315'!$H$86:$H$87</definedName>
    <definedName name="OSRRefH22_12x_0" localSheetId="65">'325'!$H$69:$H$71</definedName>
    <definedName name="OSRRefH22_12x_0" localSheetId="66">'326'!$H$71:$H$72</definedName>
    <definedName name="OSRRefH22_12x_0" localSheetId="51">'330'!$H$80</definedName>
    <definedName name="OSRRefH22_12x_0" localSheetId="56">'331'!$H$87</definedName>
    <definedName name="OSRRefH22_12x_0" localSheetId="71">'405'!$H$73:$H$80</definedName>
    <definedName name="OSRRefH22_12x_0" localSheetId="73">'411'!$H$66</definedName>
    <definedName name="OSRRefH22_12x_0" localSheetId="77">'415'!$H$70:$H$73</definedName>
    <definedName name="OSRRefH22_12x_0" localSheetId="78">'418'!$H$77:$H$78</definedName>
    <definedName name="OSRRefH22_12x_0" localSheetId="84">'433'!$H$71:$H$74</definedName>
    <definedName name="OSRRefH22_12x_0" localSheetId="85">'444'!$H$70:$H$73</definedName>
    <definedName name="OSRRefH22_12x_0" localSheetId="86">'450'!$H$71:$H$74</definedName>
    <definedName name="OSRRefH22_12x_0" localSheetId="70">'491'!$H$70:$H$72</definedName>
    <definedName name="OSRRefH22_12x_0" localSheetId="82">'492'!$H$69:$H$71</definedName>
    <definedName name="OSRRefH22_12x_0" localSheetId="88">'501'!$H$68</definedName>
    <definedName name="OSRRefH22_12x_0" localSheetId="39">'Div 2'!$H$64:$H$67</definedName>
    <definedName name="OSRRefH22_12x_0" localSheetId="47">'Div 3'!$H$104</definedName>
    <definedName name="OSRRefH22_12x_0" localSheetId="68">'Div 4'!$H$72</definedName>
    <definedName name="OSRRefH22_12x_0" localSheetId="87">'Div 5'!$H$68</definedName>
    <definedName name="OSRRefH22_12x_0" localSheetId="2">Summary!$H$112</definedName>
    <definedName name="OSRRefH22_13x_0" localSheetId="41">'201'!$H$67</definedName>
    <definedName name="OSRRefH22_13x_0" localSheetId="43">'203'!$H$70</definedName>
    <definedName name="OSRRefH22_13x_0" localSheetId="48">'300'!$H$102</definedName>
    <definedName name="OSRRefH22_13x_0" localSheetId="49">'300 &amp; 317'!$H$108</definedName>
    <definedName name="OSRRefH22_13x_0" localSheetId="50">'301'!$H$67</definedName>
    <definedName name="OSRRefH22_13x_0" localSheetId="62">'310'!$H$73:$H$75</definedName>
    <definedName name="OSRRefH22_13x_0" localSheetId="69">'310 &amp; 491'!$H$75:$H$76</definedName>
    <definedName name="OSRRefH22_13x_0" localSheetId="57">'315'!$H$89:$H$91</definedName>
    <definedName name="OSRRefH22_13x_0" localSheetId="65">'325'!$H$73:$H$77</definedName>
    <definedName name="OSRRefH22_13x_0" localSheetId="66">'326'!$H$74:$H$75</definedName>
    <definedName name="OSRRefH22_13x_0" localSheetId="56">'331'!$H$89</definedName>
    <definedName name="OSRRefH22_13x_0" localSheetId="71">'405'!$H$82</definedName>
    <definedName name="OSRRefH22_13x_0" localSheetId="73">'411'!$H$68</definedName>
    <definedName name="OSRRefH22_13x_0" localSheetId="77">'415'!$H$75</definedName>
    <definedName name="OSRRefH22_13x_0" localSheetId="78">'418'!$H$80</definedName>
    <definedName name="OSRRefH22_13x_0" localSheetId="84">'433'!$H$76:$H$83</definedName>
    <definedName name="OSRRefH22_13x_0" localSheetId="85">'444'!$H$75</definedName>
    <definedName name="OSRRefH22_13x_0" localSheetId="86">'450'!$H$76:$H$82</definedName>
    <definedName name="OSRRefH22_13x_0" localSheetId="70">'491'!$H$74</definedName>
    <definedName name="OSRRefH22_13x_0" localSheetId="82">'492'!$H$73:$H$76</definedName>
    <definedName name="OSRRefH22_13x_0" localSheetId="88">'501'!$H$70</definedName>
    <definedName name="OSRRefH22_13x_0" localSheetId="39">'Div 2'!$H$69:$H$72</definedName>
    <definedName name="OSRRefH22_13x_0" localSheetId="47">'Div 3'!$H$106</definedName>
    <definedName name="OSRRefH22_13x_0" localSheetId="68">'Div 4'!$H$74</definedName>
    <definedName name="OSRRefH22_13x_0" localSheetId="87">'Div 5'!$H$70</definedName>
    <definedName name="OSRRefH22_13x_0" localSheetId="2">Summary!$H$114</definedName>
    <definedName name="OSRRefH22_14x_0" localSheetId="41">'201'!$H$69</definedName>
    <definedName name="OSRRefH22_14x_0" localSheetId="43">'203'!$H$72</definedName>
    <definedName name="OSRRefH22_14x_0" localSheetId="48">'300'!$H$104</definedName>
    <definedName name="OSRRefH22_14x_0" localSheetId="49">'300 &amp; 317'!$H$110</definedName>
    <definedName name="OSRRefH22_14x_0" localSheetId="50">'301'!$H$69</definedName>
    <definedName name="OSRRefH22_14x_0" localSheetId="62">'310'!$H$77:$H$81</definedName>
    <definedName name="OSRRefH22_14x_0" localSheetId="69">'310 &amp; 491'!$H$78:$H$82</definedName>
    <definedName name="OSRRefH22_14x_0" localSheetId="57">'315'!$H$93:$H$94</definedName>
    <definedName name="OSRRefH22_14x_0" localSheetId="65">'325'!$H$79:$H$80</definedName>
    <definedName name="OSRRefH22_14x_0" localSheetId="66">'326'!$H$77:$H$79</definedName>
    <definedName name="OSRRefH22_14x_0" localSheetId="56">'331'!$H$91:$H$92</definedName>
    <definedName name="OSRRefH22_14x_0" localSheetId="71">'405'!$H$84</definedName>
    <definedName name="OSRRefH22_14x_0" localSheetId="73">'411'!$H$70</definedName>
    <definedName name="OSRRefH22_14x_0" localSheetId="77">'415'!$H$77:$H$82</definedName>
    <definedName name="OSRRefH22_14x_0" localSheetId="78">'418'!$H$82</definedName>
    <definedName name="OSRRefH22_14x_0" localSheetId="84">'433'!$H$85</definedName>
    <definedName name="OSRRefH22_14x_0" localSheetId="85">'444'!$H$77:$H$84</definedName>
    <definedName name="OSRRefH22_14x_0" localSheetId="86">'450'!$H$84</definedName>
    <definedName name="OSRRefH22_14x_0" localSheetId="70">'491'!$H$76:$H$80</definedName>
    <definedName name="OSRRefH22_14x_0" localSheetId="82">'492'!$H$78</definedName>
    <definedName name="OSRRefH22_14x_0" localSheetId="39">'Div 2'!$H$74:$H$75</definedName>
    <definedName name="OSRRefH22_14x_0" localSheetId="47">'Div 3'!$H$108</definedName>
    <definedName name="OSRRefH22_14x_0" localSheetId="68">'Div 4'!$H$76:$H$78</definedName>
    <definedName name="OSRRefH22_14x_0" localSheetId="2">Summary!$H$116</definedName>
    <definedName name="OSRRefH22_15x_0" localSheetId="41">'201'!$H$71</definedName>
    <definedName name="OSRRefH22_15x_0" localSheetId="48">'300'!$H$106</definedName>
    <definedName name="OSRRefH22_15x_0" localSheetId="49">'300 &amp; 317'!$H$112</definedName>
    <definedName name="OSRRefH22_15x_0" localSheetId="50">'301'!$H$71:$H$74</definedName>
    <definedName name="OSRRefH22_15x_0" localSheetId="62">'310'!$H$83:$H$84</definedName>
    <definedName name="OSRRefH22_15x_0" localSheetId="69">'310 &amp; 491'!$H$84</definedName>
    <definedName name="OSRRefH22_15x_0" localSheetId="57">'315'!$H$96:$H$99</definedName>
    <definedName name="OSRRefH22_15x_0" localSheetId="65">'325'!$H$82</definedName>
    <definedName name="OSRRefH22_15x_0" localSheetId="66">'326'!$H$81</definedName>
    <definedName name="OSRRefH22_15x_0" localSheetId="56">'331'!$H$94:$H$96</definedName>
    <definedName name="OSRRefH22_15x_0" localSheetId="71">'405'!$H$86</definedName>
    <definedName name="OSRRefH22_15x_0" localSheetId="77">'415'!$H$84:$H$85</definedName>
    <definedName name="OSRRefH22_15x_0" localSheetId="85">'444'!$H$86</definedName>
    <definedName name="OSRRefH22_15x_0" localSheetId="86">'450'!$H$86</definedName>
    <definedName name="OSRRefH22_15x_0" localSheetId="70">'491'!$H$82</definedName>
    <definedName name="OSRRefH22_15x_0" localSheetId="82">'492'!$H$80:$H$87</definedName>
    <definedName name="OSRRefH22_15x_0" localSheetId="39">'Div 2'!$H$77:$H$78</definedName>
    <definedName name="OSRRefH22_15x_0" localSheetId="47">'Div 3'!$H$110</definedName>
    <definedName name="OSRRefH22_15x_0" localSheetId="68">'Div 4'!$H$80</definedName>
    <definedName name="OSRRefH22_15x_0" localSheetId="2">Summary!$H$118</definedName>
    <definedName name="OSRRefH22_16x_0" localSheetId="48">'300'!$H$108:$H$111</definedName>
    <definedName name="OSRRefH22_16x_0" localSheetId="49">'300 &amp; 317'!$H$114:$H$117</definedName>
    <definedName name="OSRRefH22_16x_0" localSheetId="50">'301'!$H$76:$H$77</definedName>
    <definedName name="OSRRefH22_16x_0" localSheetId="62">'310'!$H$86</definedName>
    <definedName name="OSRRefH22_16x_0" localSheetId="69">'310 &amp; 491'!$H$86:$H$95</definedName>
    <definedName name="OSRRefH22_16x_0" localSheetId="57">'315'!$H$101</definedName>
    <definedName name="OSRRefH22_16x_0" localSheetId="66">'326'!$H$83:$H$84</definedName>
    <definedName name="OSRRefH22_16x_0" localSheetId="56">'331'!$H$98:$H$99</definedName>
    <definedName name="OSRRefH22_16x_0" localSheetId="77">'415'!$H$87</definedName>
    <definedName name="OSRRefH22_16x_0" localSheetId="85">'444'!$H$88</definedName>
    <definedName name="OSRRefH22_16x_0" localSheetId="86">'450'!$H$88</definedName>
    <definedName name="OSRRefH22_16x_0" localSheetId="70">'491'!$H$84:$H$92</definedName>
    <definedName name="OSRRefH22_16x_0" localSheetId="82">'492'!$H$89:$H$90</definedName>
    <definedName name="OSRRefH22_16x_0" localSheetId="39">'Div 2'!$H$80:$H$85</definedName>
    <definedName name="OSRRefH22_16x_0" localSheetId="47">'Div 3'!$H$112</definedName>
    <definedName name="OSRRefH22_16x_0" localSheetId="68">'Div 4'!$H$82:$H$86</definedName>
    <definedName name="OSRRefH22_16x_0" localSheetId="2">Summary!$H$120</definedName>
    <definedName name="OSRRefH22_17x_0" localSheetId="48">'300'!$H$113:$H$116</definedName>
    <definedName name="OSRRefH22_17x_0" localSheetId="49">'300 &amp; 317'!$H$119:$H$122</definedName>
    <definedName name="OSRRefH22_17x_0" localSheetId="50">'301'!$H$79</definedName>
    <definedName name="OSRRefH22_17x_0" localSheetId="62">'310'!$H$88</definedName>
    <definedName name="OSRRefH22_17x_0" localSheetId="69">'310 &amp; 491'!$H$97:$H$98</definedName>
    <definedName name="OSRRefH22_17x_0" localSheetId="57">'315'!$H$103</definedName>
    <definedName name="OSRRefH22_17x_0" localSheetId="66">'326'!$H$86</definedName>
    <definedName name="OSRRefH22_17x_0" localSheetId="56">'331'!$H$101:$H$102</definedName>
    <definedName name="OSRRefH22_17x_0" localSheetId="77">'415'!$H$89</definedName>
    <definedName name="OSRRefH22_17x_0" localSheetId="70">'491'!$H$94:$H$95</definedName>
    <definedName name="OSRRefH22_17x_0" localSheetId="82">'492'!$H$92</definedName>
    <definedName name="OSRRefH22_17x_0" localSheetId="39">'Div 2'!$H$87:$H$88</definedName>
    <definedName name="OSRRefH22_17x_0" localSheetId="47">'Div 3'!$H$114:$H$117</definedName>
    <definedName name="OSRRefH22_17x_0" localSheetId="68">'Div 4'!$H$88:$H$89</definedName>
    <definedName name="OSRRefH22_17x_0" localSheetId="2">Summary!$H$122</definedName>
    <definedName name="OSRRefH22_18x_0" localSheetId="48">'300'!$H$118:$H$120</definedName>
    <definedName name="OSRRefH22_18x_0" localSheetId="49">'300 &amp; 317'!$H$124:$H$126</definedName>
    <definedName name="OSRRefH22_18x_0" localSheetId="50">'301'!$H$81:$H$86</definedName>
    <definedName name="OSRRefH22_18x_0" localSheetId="69">'310 &amp; 491'!$H$100</definedName>
    <definedName name="OSRRefH22_18x_0" localSheetId="56">'331'!$H$104:$H$108</definedName>
    <definedName name="OSRRefH22_18x_0" localSheetId="70">'491'!$H$97</definedName>
    <definedName name="OSRRefH22_18x_0" localSheetId="82">'492'!$H$94:$H$95</definedName>
    <definedName name="OSRRefH22_18x_0" localSheetId="39">'Div 2'!$H$90</definedName>
    <definedName name="OSRRefH22_18x_0" localSheetId="47">'Div 3'!$H$119:$H$122</definedName>
    <definedName name="OSRRefH22_18x_0" localSheetId="68">'Div 4'!$H$91:$H$100</definedName>
    <definedName name="OSRRefH22_18x_0" localSheetId="2">Summary!$H$124:$H$127</definedName>
    <definedName name="OSRRefH22_19x_0" localSheetId="48">'300'!$H$122:$H$123</definedName>
    <definedName name="OSRRefH22_19x_0" localSheetId="49">'300 &amp; 317'!$H$128:$H$129</definedName>
    <definedName name="OSRRefH22_19x_0" localSheetId="50">'301'!$H$88</definedName>
    <definedName name="OSRRefH22_19x_0" localSheetId="69">'310 &amp; 491'!$H$102</definedName>
    <definedName name="OSRRefH22_19x_0" localSheetId="56">'331'!$H$110</definedName>
    <definedName name="OSRRefH22_19x_0" localSheetId="70">'491'!$H$99</definedName>
    <definedName name="OSRRefH22_19x_0" localSheetId="39">'Div 2'!$H$92:$H$93</definedName>
    <definedName name="OSRRefH22_19x_0" localSheetId="47">'Div 3'!$H$124:$H$127</definedName>
    <definedName name="OSRRefH22_19x_0" localSheetId="68">'Div 4'!$H$102:$H$103</definedName>
    <definedName name="OSRRefH22_19x_0" localSheetId="2">Summary!$H$129:$H$132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'300'!$H$65:$H$74</definedName>
    <definedName name="OSRRefH22_1x_0" localSheetId="49">'300 &amp; 317'!$H$71:$H$80</definedName>
    <definedName name="OSRRefH22_1x_0" localSheetId="50">'301'!$H$32:$H$41</definedName>
    <definedName name="OSRRefH22_1x_0" localSheetId="52">'307'!$H$43:$H$52</definedName>
    <definedName name="OSRRefH22_1x_0" localSheetId="53">'308'!$H$46:$H$55</definedName>
    <definedName name="OSRRefH22_1x_0" localSheetId="63">'309'!$H$22</definedName>
    <definedName name="OSRRefH22_1x_0" localSheetId="62">'310'!$H$37:$H$46</definedName>
    <definedName name="OSRRefH22_1x_0" localSheetId="69">'310 &amp; 491'!$H$39:$H$48</definedName>
    <definedName name="OSRRefH22_1x_0" localSheetId="54">'311'!$H$46:$H$55</definedName>
    <definedName name="OSRRefH22_1x_0" localSheetId="57">'315'!$H$54:$H$63</definedName>
    <definedName name="OSRRefH22_1x_0" localSheetId="59">'316'!$H$37:$H$46</definedName>
    <definedName name="OSRRefH22_1x_0" localSheetId="61">'317'!$H$46:$H$55</definedName>
    <definedName name="OSRRefH22_1x_0" localSheetId="64">'321'!$H$34:$H$43</definedName>
    <definedName name="OSRRefH22_1x_0" localSheetId="65">'325'!$H$35:$H$44</definedName>
    <definedName name="OSRRefH22_1x_0" localSheetId="66">'326'!$H$38:$H$47</definedName>
    <definedName name="OSRRefH22_1x_0" localSheetId="51">'330'!$H$43:$H$52</definedName>
    <definedName name="OSRRefH22_1x_0" localSheetId="56">'331'!$H$54:$H$63</definedName>
    <definedName name="OSRRefH22_1x_0" localSheetId="58">'332'!$H$37:$H$46</definedName>
    <definedName name="OSRRefH22_1x_0" localSheetId="71">'405'!$H$37:$H$46</definedName>
    <definedName name="OSRRefH22_1x_0" localSheetId="72">'406'!$H$22</definedName>
    <definedName name="OSRRefH22_1x_0" localSheetId="73">'411'!$H$30:$H$39</definedName>
    <definedName name="OSRRefH22_1x_0" localSheetId="74">'412'!$H$22</definedName>
    <definedName name="OSRRefH22_1x_0" localSheetId="75">'413'!$H$22</definedName>
    <definedName name="OSRRefH22_1x_0" localSheetId="76">'414'!$H$22</definedName>
    <definedName name="OSRRefH22_1x_0" localSheetId="77">'415'!$H$37:$H$46</definedName>
    <definedName name="OSRRefH22_1x_0" localSheetId="78">'418'!$H$34:$H$43</definedName>
    <definedName name="OSRRefH22_1x_0" localSheetId="79">'423'!$H$29:$H$38</definedName>
    <definedName name="OSRRefH22_1x_0" localSheetId="80">'424'!$H$22</definedName>
    <definedName name="OSRRefH22_1x_0" localSheetId="81">'425'!$H$24</definedName>
    <definedName name="OSRRefH22_1x_0" localSheetId="83">'430'!$H$30:$H$39</definedName>
    <definedName name="OSRRefH22_1x_0" localSheetId="84">'433'!$H$38:$H$47</definedName>
    <definedName name="OSRRefH22_1x_0" localSheetId="85">'444'!$H$38:$H$47</definedName>
    <definedName name="OSRRefH22_1x_0" localSheetId="86">'450'!$H$38:$H$47</definedName>
    <definedName name="OSRRefH22_1x_0" localSheetId="70">'491'!$H$38:$H$47</definedName>
    <definedName name="OSRRefH22_1x_0" localSheetId="82">'492'!$H$38:$H$47</definedName>
    <definedName name="OSRRefH22_1x_0" localSheetId="88">'501'!$H$32:$H$41</definedName>
    <definedName name="OSRRefH22_1x_0" localSheetId="39">'Div 2'!$H$32:$H$41</definedName>
    <definedName name="OSRRefH22_1x_0" localSheetId="47">'Div 3'!$H$69:$H$78</definedName>
    <definedName name="OSRRefH22_1x_0" localSheetId="68">'Div 4'!$H$40:$H$49</definedName>
    <definedName name="OSRRefH22_1x_0" localSheetId="87">'Div 5'!$H$32:$H$41</definedName>
    <definedName name="OSRRefH22_1x_0" localSheetId="60">'Div 6'!$H$46:$H$55</definedName>
    <definedName name="OSRRefH22_1x_0" localSheetId="2">Summary!$H$77:$H$86</definedName>
    <definedName name="OSRRefH22_20x_0" localSheetId="48">'300'!$H$125:$H$131</definedName>
    <definedName name="OSRRefH22_20x_0" localSheetId="49">'300 &amp; 317'!$H$131:$H$137</definedName>
    <definedName name="OSRRefH22_20x_0" localSheetId="50">'301'!$H$90</definedName>
    <definedName name="OSRRefH22_20x_0" localSheetId="69">'310 &amp; 491'!$H$104</definedName>
    <definedName name="OSRRefH22_20x_0" localSheetId="56">'331'!$H$112:$H$113</definedName>
    <definedName name="OSRRefH22_20x_0" localSheetId="70">'491'!$H$101</definedName>
    <definedName name="OSRRefH22_20x_0" localSheetId="47">'Div 3'!$H$129:$H$130</definedName>
    <definedName name="OSRRefH22_20x_0" localSheetId="68">'Div 4'!$H$105</definedName>
    <definedName name="OSRRefH22_20x_0" localSheetId="2">Summary!$H$134:$H$138</definedName>
    <definedName name="OSRRefH22_21x_0" localSheetId="48">'300'!$H$133:$H$134</definedName>
    <definedName name="OSRRefH22_21x_0" localSheetId="49">'300 &amp; 317'!$H$139:$H$140</definedName>
    <definedName name="OSRRefH22_21x_0" localSheetId="50">'301'!$H$92:$H$93</definedName>
    <definedName name="OSRRefH22_21x_0" localSheetId="56">'331'!$H$115</definedName>
    <definedName name="OSRRefH22_21x_0" localSheetId="47">'Div 3'!$H$132:$H$138</definedName>
    <definedName name="OSRRefH22_21x_0" localSheetId="68">'Div 4'!$H$107:$H$108</definedName>
    <definedName name="OSRRefH22_21x_0" localSheetId="2">Summary!$H$140:$H$141</definedName>
    <definedName name="OSRRefH22_22x_0" localSheetId="48">'300'!$H$136</definedName>
    <definedName name="OSRRefH22_22x_0" localSheetId="49">'300 &amp; 317'!$H$142</definedName>
    <definedName name="OSRRefH22_22x_0" localSheetId="50">'301'!$H$95</definedName>
    <definedName name="OSRRefH22_22x_0" localSheetId="47">'Div 3'!$H$140:$H$141</definedName>
    <definedName name="OSRRefH22_22x_0" localSheetId="68">'Div 4'!$H$110</definedName>
    <definedName name="OSRRefH22_22x_0" localSheetId="2">Summary!$H$143:$H$152</definedName>
    <definedName name="OSRRefH22_23x_0" localSheetId="48">'300'!$H$138:$H$140</definedName>
    <definedName name="OSRRefH22_23x_0" localSheetId="49">'300 &amp; 317'!$H$144:$H$146</definedName>
    <definedName name="OSRRefH22_23x_0" localSheetId="47">'Div 3'!$H$143</definedName>
    <definedName name="OSRRefH22_23x_0" localSheetId="2">Summary!$H$154:$H$155</definedName>
    <definedName name="OSRRefH22_24x_0" localSheetId="48">'300'!$H$142</definedName>
    <definedName name="OSRRefH22_24x_0" localSheetId="49">'300 &amp; 317'!$H$148</definedName>
    <definedName name="OSRRefH22_24x_0" localSheetId="47">'Div 3'!$H$145:$H$147</definedName>
    <definedName name="OSRRefH22_24x_0" localSheetId="2">Summary!$H$157</definedName>
    <definedName name="OSRRefH22_25x_0" localSheetId="47">'Div 3'!$H$149</definedName>
    <definedName name="OSRRefH22_25x_0" localSheetId="2">Summary!$H$159:$H$161</definedName>
    <definedName name="OSRRefH22_26x_0" localSheetId="2">Summary!$H$163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'300'!$H$76</definedName>
    <definedName name="OSRRefH22_2x_0" localSheetId="49">'300 &amp; 317'!$H$82</definedName>
    <definedName name="OSRRefH22_2x_0" localSheetId="50">'301'!$H$43</definedName>
    <definedName name="OSRRefH22_2x_0" localSheetId="52">'307'!$H$54</definedName>
    <definedName name="OSRRefH22_2x_0" localSheetId="53">'308'!$H$57</definedName>
    <definedName name="OSRRefH22_2x_0" localSheetId="63">'309'!$H$24</definedName>
    <definedName name="OSRRefH22_2x_0" localSheetId="62">'310'!$H$48</definedName>
    <definedName name="OSRRefH22_2x_0" localSheetId="69">'310 &amp; 491'!$H$50</definedName>
    <definedName name="OSRRefH22_2x_0" localSheetId="54">'311'!$H$57</definedName>
    <definedName name="OSRRefH22_2x_0" localSheetId="57">'315'!$H$65</definedName>
    <definedName name="OSRRefH22_2x_0" localSheetId="59">'316'!$H$48</definedName>
    <definedName name="OSRRefH22_2x_0" localSheetId="61">'317'!$H$57</definedName>
    <definedName name="OSRRefH22_2x_0" localSheetId="64">'321'!$H$45</definedName>
    <definedName name="OSRRefH22_2x_0" localSheetId="65">'325'!$H$46</definedName>
    <definedName name="OSRRefH22_2x_0" localSheetId="66">'326'!$H$49</definedName>
    <definedName name="OSRRefH22_2x_0" localSheetId="51">'330'!$H$54</definedName>
    <definedName name="OSRRefH22_2x_0" localSheetId="56">'331'!$H$65</definedName>
    <definedName name="OSRRefH22_2x_0" localSheetId="58">'332'!$H$48</definedName>
    <definedName name="OSRRefH22_2x_0" localSheetId="71">'405'!$H$48</definedName>
    <definedName name="OSRRefH22_2x_0" localSheetId="73">'411'!$H$41</definedName>
    <definedName name="OSRRefH22_2x_0" localSheetId="74">'412'!$H$24</definedName>
    <definedName name="OSRRefH22_2x_0" localSheetId="75">'413'!$H$24</definedName>
    <definedName name="OSRRefH22_2x_0" localSheetId="76">'414'!$H$24</definedName>
    <definedName name="OSRRefH22_2x_0" localSheetId="77">'415'!$H$48</definedName>
    <definedName name="OSRRefH22_2x_0" localSheetId="78">'418'!$H$45</definedName>
    <definedName name="OSRRefH22_2x_0" localSheetId="79">'423'!$H$40</definedName>
    <definedName name="OSRRefH22_2x_0" localSheetId="80">'424'!$H$24</definedName>
    <definedName name="OSRRefH22_2x_0" localSheetId="81">'425'!$H$26</definedName>
    <definedName name="OSRRefH22_2x_0" localSheetId="83">'430'!$H$41</definedName>
    <definedName name="OSRRefH22_2x_0" localSheetId="84">'433'!$H$49</definedName>
    <definedName name="OSRRefH22_2x_0" localSheetId="85">'444'!$H$49</definedName>
    <definedName name="OSRRefH22_2x_0" localSheetId="86">'450'!$H$49</definedName>
    <definedName name="OSRRefH22_2x_0" localSheetId="70">'491'!$H$49</definedName>
    <definedName name="OSRRefH22_2x_0" localSheetId="82">'492'!$H$49</definedName>
    <definedName name="OSRRefH22_2x_0" localSheetId="88">'501'!$H$43</definedName>
    <definedName name="OSRRefH22_2x_0" localSheetId="39">'Div 2'!$H$43</definedName>
    <definedName name="OSRRefH22_2x_0" localSheetId="47">'Div 3'!$H$80</definedName>
    <definedName name="OSRRefH22_2x_0" localSheetId="68">'Div 4'!$H$51</definedName>
    <definedName name="OSRRefH22_2x_0" localSheetId="87">'Div 5'!$H$43</definedName>
    <definedName name="OSRRefH22_2x_0" localSheetId="60">'Div 6'!$H$57</definedName>
    <definedName name="OSRRefH22_2x_0" localSheetId="2">Summary!$H$88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'300'!$H$78</definedName>
    <definedName name="OSRRefH22_3x_0" localSheetId="49">'300 &amp; 317'!$H$84</definedName>
    <definedName name="OSRRefH22_3x_0" localSheetId="50">'301'!$H$45</definedName>
    <definedName name="OSRRefH22_3x_0" localSheetId="52">'307'!$H$56</definedName>
    <definedName name="OSRRefH22_3x_0" localSheetId="53">'308'!$H$59</definedName>
    <definedName name="OSRRefH22_3x_0" localSheetId="63">'309'!$H$26</definedName>
    <definedName name="OSRRefH22_3x_0" localSheetId="62">'310'!$H$50</definedName>
    <definedName name="OSRRefH22_3x_0" localSheetId="69">'310 &amp; 491'!$H$52</definedName>
    <definedName name="OSRRefH22_3x_0" localSheetId="54">'311'!$H$59</definedName>
    <definedName name="OSRRefH22_3x_0" localSheetId="57">'315'!$H$67</definedName>
    <definedName name="OSRRefH22_3x_0" localSheetId="59">'316'!$H$50</definedName>
    <definedName name="OSRRefH22_3x_0" localSheetId="61">'317'!$H$59</definedName>
    <definedName name="OSRRefH22_3x_0" localSheetId="64">'321'!$H$47</definedName>
    <definedName name="OSRRefH22_3x_0" localSheetId="65">'325'!$H$48</definedName>
    <definedName name="OSRRefH22_3x_0" localSheetId="66">'326'!$H$51</definedName>
    <definedName name="OSRRefH22_3x_0" localSheetId="51">'330'!$H$56</definedName>
    <definedName name="OSRRefH22_3x_0" localSheetId="56">'331'!$H$67</definedName>
    <definedName name="OSRRefH22_3x_0" localSheetId="58">'332'!$H$50</definedName>
    <definedName name="OSRRefH22_3x_0" localSheetId="71">'405'!$H$50</definedName>
    <definedName name="OSRRefH22_3x_0" localSheetId="73">'411'!$H$43:$H$44</definedName>
    <definedName name="OSRRefH22_3x_0" localSheetId="74">'412'!$H$26</definedName>
    <definedName name="OSRRefH22_3x_0" localSheetId="77">'415'!$H$50</definedName>
    <definedName name="OSRRefH22_3x_0" localSheetId="78">'418'!$H$47</definedName>
    <definedName name="OSRRefH22_3x_0" localSheetId="79">'423'!$H$42</definedName>
    <definedName name="OSRRefH22_3x_0" localSheetId="81">'425'!$H$28</definedName>
    <definedName name="OSRRefH22_3x_0" localSheetId="83">'430'!$H$43</definedName>
    <definedName name="OSRRefH22_3x_0" localSheetId="84">'433'!$H$51</definedName>
    <definedName name="OSRRefH22_3x_0" localSheetId="85">'444'!$H$51</definedName>
    <definedName name="OSRRefH22_3x_0" localSheetId="86">'450'!$H$51</definedName>
    <definedName name="OSRRefH22_3x_0" localSheetId="70">'491'!$H$51</definedName>
    <definedName name="OSRRefH22_3x_0" localSheetId="82">'492'!$H$51</definedName>
    <definedName name="OSRRefH22_3x_0" localSheetId="88">'501'!$H$45</definedName>
    <definedName name="OSRRefH22_3x_0" localSheetId="39">'Div 2'!$H$45</definedName>
    <definedName name="OSRRefH22_3x_0" localSheetId="47">'Div 3'!$H$82</definedName>
    <definedName name="OSRRefH22_3x_0" localSheetId="68">'Div 4'!$H$53</definedName>
    <definedName name="OSRRefH22_3x_0" localSheetId="87">'Div 5'!$H$45</definedName>
    <definedName name="OSRRefH22_3x_0" localSheetId="60">'Div 6'!$H$59</definedName>
    <definedName name="OSRRefH22_3x_0" localSheetId="2">Summary!$H$90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'205'!$H$45:$H$46</definedName>
    <definedName name="OSRRefH22_4x_0" localSheetId="46">'206'!$H$45:$H$46</definedName>
    <definedName name="OSRRefH22_4x_0" localSheetId="48">'300'!$H$80</definedName>
    <definedName name="OSRRefH22_4x_0" localSheetId="49">'300 &amp; 317'!$H$86</definedName>
    <definedName name="OSRRefH22_4x_0" localSheetId="50">'301'!$H$47</definedName>
    <definedName name="OSRRefH22_4x_0" localSheetId="52">'307'!$H$58</definedName>
    <definedName name="OSRRefH22_4x_0" localSheetId="53">'308'!$H$61</definedName>
    <definedName name="OSRRefH22_4x_0" localSheetId="63">'309'!$H$28:$H$29</definedName>
    <definedName name="OSRRefH22_4x_0" localSheetId="62">'310'!$H$52</definedName>
    <definedName name="OSRRefH22_4x_0" localSheetId="69">'310 &amp; 491'!$H$54</definedName>
    <definedName name="OSRRefH22_4x_0" localSheetId="54">'311'!$H$61</definedName>
    <definedName name="OSRRefH22_4x_0" localSheetId="57">'315'!$H$69</definedName>
    <definedName name="OSRRefH22_4x_0" localSheetId="59">'316'!$H$52</definedName>
    <definedName name="OSRRefH22_4x_0" localSheetId="61">'317'!$H$61</definedName>
    <definedName name="OSRRefH22_4x_0" localSheetId="64">'321'!$H$49</definedName>
    <definedName name="OSRRefH22_4x_0" localSheetId="65">'325'!$H$50</definedName>
    <definedName name="OSRRefH22_4x_0" localSheetId="66">'326'!$H$53</definedName>
    <definedName name="OSRRefH22_4x_0" localSheetId="51">'330'!$H$58</definedName>
    <definedName name="OSRRefH22_4x_0" localSheetId="56">'331'!$H$69</definedName>
    <definedName name="OSRRefH22_4x_0" localSheetId="58">'332'!$H$52</definedName>
    <definedName name="OSRRefH22_4x_0" localSheetId="71">'405'!$H$52</definedName>
    <definedName name="OSRRefH22_4x_0" localSheetId="73">'411'!$H$46</definedName>
    <definedName name="OSRRefH22_4x_0" localSheetId="77">'415'!$H$52</definedName>
    <definedName name="OSRRefH22_4x_0" localSheetId="78">'418'!$H$49:$H$50</definedName>
    <definedName name="OSRRefH22_4x_0" localSheetId="79">'423'!$H$44</definedName>
    <definedName name="OSRRefH22_4x_0" localSheetId="81">'425'!$H$30</definedName>
    <definedName name="OSRRefH22_4x_0" localSheetId="83">'430'!$H$45</definedName>
    <definedName name="OSRRefH22_4x_0" localSheetId="84">'433'!$H$53</definedName>
    <definedName name="OSRRefH22_4x_0" localSheetId="85">'444'!$H$53</definedName>
    <definedName name="OSRRefH22_4x_0" localSheetId="86">'450'!$H$53</definedName>
    <definedName name="OSRRefH22_4x_0" localSheetId="70">'491'!$H$53</definedName>
    <definedName name="OSRRefH22_4x_0" localSheetId="82">'492'!$H$53</definedName>
    <definedName name="OSRRefH22_4x_0" localSheetId="88">'501'!$H$47</definedName>
    <definedName name="OSRRefH22_4x_0" localSheetId="39">'Div 2'!$H$47</definedName>
    <definedName name="OSRRefH22_4x_0" localSheetId="47">'Div 3'!$H$84</definedName>
    <definedName name="OSRRefH22_4x_0" localSheetId="68">'Div 4'!$H$55</definedName>
    <definedName name="OSRRefH22_4x_0" localSheetId="87">'Div 5'!$H$47</definedName>
    <definedName name="OSRRefH22_4x_0" localSheetId="60">'Div 6'!$H$61</definedName>
    <definedName name="OSRRefH22_4x_0" localSheetId="2">Summary!$H$92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'204'!$H$48:$H$51</definedName>
    <definedName name="OSRRefH22_5x_0" localSheetId="45">'205'!$H$48</definedName>
    <definedName name="OSRRefH22_5x_0" localSheetId="46">'206'!$H$48</definedName>
    <definedName name="OSRRefH22_5x_0" localSheetId="48">'300'!$H$82:$H$83</definedName>
    <definedName name="OSRRefH22_5x_0" localSheetId="49">'300 &amp; 317'!$H$88:$H$89</definedName>
    <definedName name="OSRRefH22_5x_0" localSheetId="50">'301'!$H$49:$H$50</definedName>
    <definedName name="OSRRefH22_5x_0" localSheetId="52">'307'!$H$60:$H$61</definedName>
    <definedName name="OSRRefH22_5x_0" localSheetId="53">'308'!$H$63</definedName>
    <definedName name="OSRRefH22_5x_0" localSheetId="63">'309'!$H$31</definedName>
    <definedName name="OSRRefH22_5x_0" localSheetId="62">'310'!$H$54:$H$55</definedName>
    <definedName name="OSRRefH22_5x_0" localSheetId="69">'310 &amp; 491'!$H$56:$H$57</definedName>
    <definedName name="OSRRefH22_5x_0" localSheetId="54">'311'!$H$63</definedName>
    <definedName name="OSRRefH22_5x_0" localSheetId="57">'315'!$H$71</definedName>
    <definedName name="OSRRefH22_5x_0" localSheetId="59">'316'!$H$54:$H$55</definedName>
    <definedName name="OSRRefH22_5x_0" localSheetId="61">'317'!$H$63</definedName>
    <definedName name="OSRRefH22_5x_0" localSheetId="64">'321'!$H$51</definedName>
    <definedName name="OSRRefH22_5x_0" localSheetId="65">'325'!$H$52:$H$53</definedName>
    <definedName name="OSRRefH22_5x_0" localSheetId="66">'326'!$H$55</definedName>
    <definedName name="OSRRefH22_5x_0" localSheetId="51">'330'!$H$60:$H$61</definedName>
    <definedName name="OSRRefH22_5x_0" localSheetId="56">'331'!$H$71</definedName>
    <definedName name="OSRRefH22_5x_0" localSheetId="58">'332'!$H$54:$H$55</definedName>
    <definedName name="OSRRefH22_5x_0" localSheetId="71">'405'!$H$54:$H$55</definedName>
    <definedName name="OSRRefH22_5x_0" localSheetId="73">'411'!$H$48</definedName>
    <definedName name="OSRRefH22_5x_0" localSheetId="77">'415'!$H$54:$H$55</definedName>
    <definedName name="OSRRefH22_5x_0" localSheetId="78">'418'!$H$52</definedName>
    <definedName name="OSRRefH22_5x_0" localSheetId="79">'423'!$H$46</definedName>
    <definedName name="OSRRefH22_5x_0" localSheetId="81">'425'!$H$32</definedName>
    <definedName name="OSRRefH22_5x_0" localSheetId="83">'430'!$H$47:$H$48</definedName>
    <definedName name="OSRRefH22_5x_0" localSheetId="84">'433'!$H$55</definedName>
    <definedName name="OSRRefH22_5x_0" localSheetId="85">'444'!$H$55</definedName>
    <definedName name="OSRRefH22_5x_0" localSheetId="86">'450'!$H$55</definedName>
    <definedName name="OSRRefH22_5x_0" localSheetId="70">'491'!$H$55:$H$56</definedName>
    <definedName name="OSRRefH22_5x_0" localSheetId="82">'492'!$H$55</definedName>
    <definedName name="OSRRefH22_5x_0" localSheetId="88">'501'!$H$49:$H$50</definedName>
    <definedName name="OSRRefH22_5x_0" localSheetId="39">'Div 2'!$H$49:$H$50</definedName>
    <definedName name="OSRRefH22_5x_0" localSheetId="47">'Div 3'!$H$86:$H$87</definedName>
    <definedName name="OSRRefH22_5x_0" localSheetId="68">'Div 4'!$H$57:$H$58</definedName>
    <definedName name="OSRRefH22_5x_0" localSheetId="87">'Div 5'!$H$49:$H$50</definedName>
    <definedName name="OSRRefH22_5x_0" localSheetId="60">'Div 6'!$H$63</definedName>
    <definedName name="OSRRefH22_5x_0" localSheetId="2">Summary!$H$94:$H$95</definedName>
    <definedName name="OSRRefH22_6x_0" localSheetId="41">'201'!$H$49</definedName>
    <definedName name="OSRRefH22_6x_0" localSheetId="42">'202'!$H$49</definedName>
    <definedName name="OSRRefH22_6x_0" localSheetId="43">'203'!$H$50</definedName>
    <definedName name="OSRRefH22_6x_0" localSheetId="44">'204'!$H$53</definedName>
    <definedName name="OSRRefH22_6x_0" localSheetId="45">'205'!$H$50:$H$52</definedName>
    <definedName name="OSRRefH22_6x_0" localSheetId="46">'206'!$H$50:$H$51</definedName>
    <definedName name="OSRRefH22_6x_0" localSheetId="48">'300'!$H$85:$H$86</definedName>
    <definedName name="OSRRefH22_6x_0" localSheetId="49">'300 &amp; 317'!$H$91:$H$92</definedName>
    <definedName name="OSRRefH22_6x_0" localSheetId="50">'301'!$H$52:$H$53</definedName>
    <definedName name="OSRRefH22_6x_0" localSheetId="52">'307'!$H$63</definedName>
    <definedName name="OSRRefH22_6x_0" localSheetId="53">'308'!$H$65</definedName>
    <definedName name="OSRRefH22_6x_0" localSheetId="63">'309'!$H$33</definedName>
    <definedName name="OSRRefH22_6x_0" localSheetId="62">'310'!$H$57</definedName>
    <definedName name="OSRRefH22_6x_0" localSheetId="69">'310 &amp; 491'!$H$59</definedName>
    <definedName name="OSRRefH22_6x_0" localSheetId="54">'311'!$H$65</definedName>
    <definedName name="OSRRefH22_6x_0" localSheetId="57">'315'!$H$73</definedName>
    <definedName name="OSRRefH22_6x_0" localSheetId="59">'316'!$H$57</definedName>
    <definedName name="OSRRefH22_6x_0" localSheetId="61">'317'!$H$65</definedName>
    <definedName name="OSRRefH22_6x_0" localSheetId="64">'321'!$H$53:$H$54</definedName>
    <definedName name="OSRRefH22_6x_0" localSheetId="65">'325'!$H$55</definedName>
    <definedName name="OSRRefH22_6x_0" localSheetId="66">'326'!$H$57:$H$58</definedName>
    <definedName name="OSRRefH22_6x_0" localSheetId="51">'330'!$H$63</definedName>
    <definedName name="OSRRefH22_6x_0" localSheetId="56">'331'!$H$73</definedName>
    <definedName name="OSRRefH22_6x_0" localSheetId="58">'332'!$H$57</definedName>
    <definedName name="OSRRefH22_6x_0" localSheetId="71">'405'!$H$57</definedName>
    <definedName name="OSRRefH22_6x_0" localSheetId="73">'411'!$H$50</definedName>
    <definedName name="OSRRefH22_6x_0" localSheetId="77">'415'!$H$57</definedName>
    <definedName name="OSRRefH22_6x_0" localSheetId="78">'418'!$H$54</definedName>
    <definedName name="OSRRefH22_6x_0" localSheetId="83">'430'!$H$50:$H$51</definedName>
    <definedName name="OSRRefH22_6x_0" localSheetId="84">'433'!$H$57</definedName>
    <definedName name="OSRRefH22_6x_0" localSheetId="85">'444'!$H$57</definedName>
    <definedName name="OSRRefH22_6x_0" localSheetId="86">'450'!$H$57</definedName>
    <definedName name="OSRRefH22_6x_0" localSheetId="70">'491'!$H$58</definedName>
    <definedName name="OSRRefH22_6x_0" localSheetId="82">'492'!$H$57</definedName>
    <definedName name="OSRRefH22_6x_0" localSheetId="88">'501'!$H$52</definedName>
    <definedName name="OSRRefH22_6x_0" localSheetId="39">'Div 2'!$H$52</definedName>
    <definedName name="OSRRefH22_6x_0" localSheetId="47">'Div 3'!$H$89:$H$90</definedName>
    <definedName name="OSRRefH22_6x_0" localSheetId="68">'Div 4'!$H$60</definedName>
    <definedName name="OSRRefH22_6x_0" localSheetId="87">'Div 5'!$H$52</definedName>
    <definedName name="OSRRefH22_6x_0" localSheetId="60">'Div 6'!$H$65</definedName>
    <definedName name="OSRRefH22_6x_0" localSheetId="2">Summary!$H$97:$H$98</definedName>
    <definedName name="OSRRefH22_7x_0" localSheetId="41">'201'!$H$51</definedName>
    <definedName name="OSRRefH22_7x_0" localSheetId="42">'202'!$H$51:$H$53</definedName>
    <definedName name="OSRRefH22_7x_0" localSheetId="43">'203'!$H$52</definedName>
    <definedName name="OSRRefH22_7x_0" localSheetId="44">'204'!$H$55</definedName>
    <definedName name="OSRRefH22_7x_0" localSheetId="45">'205'!$H$54</definedName>
    <definedName name="OSRRefH22_7x_0" localSheetId="46">'206'!$H$53</definedName>
    <definedName name="OSRRefH22_7x_0" localSheetId="48">'300'!$H$88</definedName>
    <definedName name="OSRRefH22_7x_0" localSheetId="49">'300 &amp; 317'!$H$94</definedName>
    <definedName name="OSRRefH22_7x_0" localSheetId="50">'301'!$H$55</definedName>
    <definedName name="OSRRefH22_7x_0" localSheetId="52">'307'!$H$65</definedName>
    <definedName name="OSRRefH22_7x_0" localSheetId="53">'308'!$H$67</definedName>
    <definedName name="OSRRefH22_7x_0" localSheetId="62">'310'!$H$59</definedName>
    <definedName name="OSRRefH22_7x_0" localSheetId="69">'310 &amp; 491'!$H$61</definedName>
    <definedName name="OSRRefH22_7x_0" localSheetId="54">'311'!$H$67</definedName>
    <definedName name="OSRRefH22_7x_0" localSheetId="57">'315'!$H$75</definedName>
    <definedName name="OSRRefH22_7x_0" localSheetId="59">'316'!$H$59:$H$61</definedName>
    <definedName name="OSRRefH22_7x_0" localSheetId="61">'317'!$H$67</definedName>
    <definedName name="OSRRefH22_7x_0" localSheetId="64">'321'!$H$56</definedName>
    <definedName name="OSRRefH22_7x_0" localSheetId="65">'325'!$H$57</definedName>
    <definedName name="OSRRefH22_7x_0" localSheetId="66">'326'!$H$60</definedName>
    <definedName name="OSRRefH22_7x_0" localSheetId="51">'330'!$H$65</definedName>
    <definedName name="OSRRefH22_7x_0" localSheetId="56">'331'!$H$75</definedName>
    <definedName name="OSRRefH22_7x_0" localSheetId="58">'332'!$H$59:$H$61</definedName>
    <definedName name="OSRRefH22_7x_0" localSheetId="71">'405'!$H$59</definedName>
    <definedName name="OSRRefH22_7x_0" localSheetId="73">'411'!$H$52</definedName>
    <definedName name="OSRRefH22_7x_0" localSheetId="77">'415'!$H$59</definedName>
    <definedName name="OSRRefH22_7x_0" localSheetId="78">'418'!$H$56</definedName>
    <definedName name="OSRRefH22_7x_0" localSheetId="83">'430'!$H$53</definedName>
    <definedName name="OSRRefH22_7x_0" localSheetId="84">'433'!$H$59</definedName>
    <definedName name="OSRRefH22_7x_0" localSheetId="85">'444'!$H$59</definedName>
    <definedName name="OSRRefH22_7x_0" localSheetId="86">'450'!$H$59</definedName>
    <definedName name="OSRRefH22_7x_0" localSheetId="70">'491'!$H$60</definedName>
    <definedName name="OSRRefH22_7x_0" localSheetId="82">'492'!$H$59</definedName>
    <definedName name="OSRRefH22_7x_0" localSheetId="88">'501'!$H$54</definedName>
    <definedName name="OSRRefH22_7x_0" localSheetId="39">'Div 2'!$H$54</definedName>
    <definedName name="OSRRefH22_7x_0" localSheetId="47">'Div 3'!$H$92</definedName>
    <definedName name="OSRRefH22_7x_0" localSheetId="68">'Div 4'!$H$62</definedName>
    <definedName name="OSRRefH22_7x_0" localSheetId="87">'Div 5'!$H$54</definedName>
    <definedName name="OSRRefH22_7x_0" localSheetId="60">'Div 6'!$H$67</definedName>
    <definedName name="OSRRefH22_7x_0" localSheetId="2">Summary!$H$100</definedName>
    <definedName name="OSRRefH22_8x_0" localSheetId="41">'201'!$H$53</definedName>
    <definedName name="OSRRefH22_8x_0" localSheetId="42">'202'!$H$55</definedName>
    <definedName name="OSRRefH22_8x_0" localSheetId="43">'203'!$H$54:$H$56</definedName>
    <definedName name="OSRRefH22_8x_0" localSheetId="44">'204'!$H$57:$H$58</definedName>
    <definedName name="OSRRefH22_8x_0" localSheetId="48">'300'!$H$90</definedName>
    <definedName name="OSRRefH22_8x_0" localSheetId="49">'300 &amp; 317'!$H$96</definedName>
    <definedName name="OSRRefH22_8x_0" localSheetId="50">'301'!$H$57</definedName>
    <definedName name="OSRRefH22_8x_0" localSheetId="52">'307'!$H$67</definedName>
    <definedName name="OSRRefH22_8x_0" localSheetId="53">'308'!$H$69:$H$71</definedName>
    <definedName name="OSRRefH22_8x_0" localSheetId="62">'310'!$H$61</definedName>
    <definedName name="OSRRefH22_8x_0" localSheetId="69">'310 &amp; 491'!$H$63</definedName>
    <definedName name="OSRRefH22_8x_0" localSheetId="54">'311'!$H$69:$H$71</definedName>
    <definedName name="OSRRefH22_8x_0" localSheetId="57">'315'!$H$77:$H$78</definedName>
    <definedName name="OSRRefH22_8x_0" localSheetId="59">'316'!$H$63</definedName>
    <definedName name="OSRRefH22_8x_0" localSheetId="61">'317'!$H$69:$H$70</definedName>
    <definedName name="OSRRefH22_8x_0" localSheetId="64">'321'!$H$58:$H$59</definedName>
    <definedName name="OSRRefH22_8x_0" localSheetId="65">'325'!$H$59</definedName>
    <definedName name="OSRRefH22_8x_0" localSheetId="66">'326'!$H$62</definedName>
    <definedName name="OSRRefH22_8x_0" localSheetId="51">'330'!$H$67</definedName>
    <definedName name="OSRRefH22_8x_0" localSheetId="56">'331'!$H$77:$H$78</definedName>
    <definedName name="OSRRefH22_8x_0" localSheetId="58">'332'!$H$63</definedName>
    <definedName name="OSRRefH22_8x_0" localSheetId="71">'405'!$H$61</definedName>
    <definedName name="OSRRefH22_8x_0" localSheetId="73">'411'!$H$54:$H$56</definedName>
    <definedName name="OSRRefH22_8x_0" localSheetId="77">'415'!$H$61</definedName>
    <definedName name="OSRRefH22_8x_0" localSheetId="78">'418'!$H$58:$H$59</definedName>
    <definedName name="OSRRefH22_8x_0" localSheetId="83">'430'!$H$55</definedName>
    <definedName name="OSRRefH22_8x_0" localSheetId="84">'433'!$H$61</definedName>
    <definedName name="OSRRefH22_8x_0" localSheetId="85">'444'!$H$61</definedName>
    <definedName name="OSRRefH22_8x_0" localSheetId="86">'450'!$H$61</definedName>
    <definedName name="OSRRefH22_8x_0" localSheetId="70">'491'!$H$62</definedName>
    <definedName name="OSRRefH22_8x_0" localSheetId="82">'492'!$H$61</definedName>
    <definedName name="OSRRefH22_8x_0" localSheetId="88">'501'!$H$56</definedName>
    <definedName name="OSRRefH22_8x_0" localSheetId="39">'Div 2'!$H$56</definedName>
    <definedName name="OSRRefH22_8x_0" localSheetId="47">'Div 3'!$H$94</definedName>
    <definedName name="OSRRefH22_8x_0" localSheetId="68">'Div 4'!$H$64</definedName>
    <definedName name="OSRRefH22_8x_0" localSheetId="87">'Div 5'!$H$56</definedName>
    <definedName name="OSRRefH22_8x_0" localSheetId="60">'Div 6'!$H$69:$H$70</definedName>
    <definedName name="OSRRefH22_8x_0" localSheetId="2">Summary!$H$102</definedName>
    <definedName name="OSRRefH22_9x_0" localSheetId="41">'201'!$H$55:$H$57</definedName>
    <definedName name="OSRRefH22_9x_0" localSheetId="42">'202'!$H$57</definedName>
    <definedName name="OSRRefH22_9x_0" localSheetId="43">'203'!$H$58:$H$59</definedName>
    <definedName name="OSRRefH22_9x_0" localSheetId="44">'204'!$H$60</definedName>
    <definedName name="OSRRefH22_9x_0" localSheetId="48">'300'!$H$92</definedName>
    <definedName name="OSRRefH22_9x_0" localSheetId="49">'300 &amp; 317'!$H$98</definedName>
    <definedName name="OSRRefH22_9x_0" localSheetId="50">'301'!$H$59</definedName>
    <definedName name="OSRRefH22_9x_0" localSheetId="52">'307'!$H$69:$H$70</definedName>
    <definedName name="OSRRefH22_9x_0" localSheetId="53">'308'!$H$73</definedName>
    <definedName name="OSRRefH22_9x_0" localSheetId="62">'310'!$H$63</definedName>
    <definedName name="OSRRefH22_9x_0" localSheetId="69">'310 &amp; 491'!$H$65</definedName>
    <definedName name="OSRRefH22_9x_0" localSheetId="54">'311'!$H$73</definedName>
    <definedName name="OSRRefH22_9x_0" localSheetId="57">'315'!$H$80</definedName>
    <definedName name="OSRRefH22_9x_0" localSheetId="59">'316'!$H$65:$H$68</definedName>
    <definedName name="OSRRefH22_9x_0" localSheetId="61">'317'!$H$72</definedName>
    <definedName name="OSRRefH22_9x_0" localSheetId="64">'321'!$H$61:$H$64</definedName>
    <definedName name="OSRRefH22_9x_0" localSheetId="65">'325'!$H$61</definedName>
    <definedName name="OSRRefH22_9x_0" localSheetId="66">'326'!$H$64</definedName>
    <definedName name="OSRRefH22_9x_0" localSheetId="51">'330'!$H$69:$H$70</definedName>
    <definedName name="OSRRefH22_9x_0" localSheetId="56">'331'!$H$80:$H$81</definedName>
    <definedName name="OSRRefH22_9x_0" localSheetId="58">'332'!$H$65:$H$68</definedName>
    <definedName name="OSRRefH22_9x_0" localSheetId="71">'405'!$H$63:$H$64</definedName>
    <definedName name="OSRRefH22_9x_0" localSheetId="73">'411'!$H$58:$H$60</definedName>
    <definedName name="OSRRefH22_9x_0" localSheetId="77">'415'!$H$63</definedName>
    <definedName name="OSRRefH22_9x_0" localSheetId="78">'418'!$H$61:$H$64</definedName>
    <definedName name="OSRRefH22_9x_0" localSheetId="84">'433'!$H$63</definedName>
    <definedName name="OSRRefH22_9x_0" localSheetId="85">'444'!$H$63</definedName>
    <definedName name="OSRRefH22_9x_0" localSheetId="86">'450'!$H$63</definedName>
    <definedName name="OSRRefH22_9x_0" localSheetId="70">'491'!$H$64</definedName>
    <definedName name="OSRRefH22_9x_0" localSheetId="82">'492'!$H$63</definedName>
    <definedName name="OSRRefH22_9x_0" localSheetId="88">'501'!$H$58:$H$60</definedName>
    <definedName name="OSRRefH22_9x_0" localSheetId="39">'Div 2'!$H$58</definedName>
    <definedName name="OSRRefH22_9x_0" localSheetId="47">'Div 3'!$H$96</definedName>
    <definedName name="OSRRefH22_9x_0" localSheetId="68">'Div 4'!$H$66</definedName>
    <definedName name="OSRRefH22_9x_0" localSheetId="87">'Div 5'!$H$58:$H$60</definedName>
    <definedName name="OSRRefH22_9x_0" localSheetId="60">'Div 6'!$H$72</definedName>
    <definedName name="OSRRefH22_9x_0" localSheetId="2">Summary!$H$104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'201'!$H$20:$H$28,'201'!$H$30:$H$39,'201'!$H$41,'201'!$H$43,'201'!$H$45,'201'!$H$47,'201'!$H$49,'201'!$H$51,'201'!$H$53,'201'!$H$55:$H$57,'201'!$H$59:$H$60,'201'!$H$62,'201'!$H$64:$H$65,'201'!$H$67,'201'!$H$69,'201'!$H$71</definedName>
    <definedName name="OSRRefH22x_0" localSheetId="42">'202'!$H$20:$H$28,'202'!$H$30:$H$39,'202'!$H$41,'202'!$H$43,'202'!$H$45,'202'!$H$47,'202'!$H$49,'202'!$H$51:$H$53,'202'!$H$55,'202'!$H$57,'202'!$H$59,'202'!$H$61,'202'!$H$63</definedName>
    <definedName name="OSRRefH22x_0" localSheetId="43">'203'!$H$20:$H$29,'203'!$H$31:$H$40,'203'!$H$42,'203'!$H$44,'203'!$H$46,'203'!$H$48,'203'!$H$50,'203'!$H$52,'203'!$H$54:$H$56,'203'!$H$58:$H$59,'203'!$H$61,'203'!$H$63:$H$66,'203'!$H$68,'203'!$H$70,'203'!$H$72</definedName>
    <definedName name="OSRRefH22x_0" localSheetId="44">'204'!$H$20:$H$28,'204'!$H$30:$H$39,'204'!$H$41,'204'!$H$43:$H$44,'204'!$H$46,'204'!$H$48:$H$51,'204'!$H$53,'204'!$H$55,'204'!$H$57:$H$58,'204'!$H$60,'204'!$H$62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'206'!$H$20:$H$28,'206'!$H$30:$H$39,'206'!$H$41,'206'!$H$43,'206'!$H$45:$H$46,'206'!$H$48,'206'!$H$50:$H$51,'206'!$H$53</definedName>
    <definedName name="OSRRefH22x_0" localSheetId="48">'300'!$H$54:$H$63,'300'!$H$65:$H$74,'300'!$H$76,'300'!$H$78,'300'!$H$80,'300'!$H$82:$H$83,'300'!$H$85:$H$86,'300'!$H$88,'300'!$H$90,'300'!$H$92,'300'!$H$94:$H$95,'300'!$H$97:$H$98,'300'!$H$100,'300'!$H$102,'300'!$H$104,'300'!$H$106,'300'!$H$108:$H$111,'300'!$H$113:$H$116,'300'!$H$118:$H$120,'300'!$H$122:$H$123,'300'!$H$125:$H$131,'300'!$H$133:$H$134,'300'!$H$136,'300'!$H$138:$H$140,'300'!$H$142</definedName>
    <definedName name="OSRRefH22x_0" localSheetId="49">'300 &amp; 317'!$H$60:$H$69,'300 &amp; 317'!$H$71:$H$80,'300 &amp; 317'!$H$82,'300 &amp; 317'!$H$84,'300 &amp; 317'!$H$86,'300 &amp; 317'!$H$88:$H$89,'300 &amp; 317'!$H$91:$H$92,'300 &amp; 317'!$H$94,'300 &amp; 317'!$H$96,'300 &amp; 317'!$H$98,'300 &amp; 317'!$H$100:$H$101,'300 &amp; 317'!$H$103:$H$104,'300 &amp; 317'!$H$106,'300 &amp; 317'!$H$108,'300 &amp; 317'!$H$110,'300 &amp; 317'!$H$112,'300 &amp; 317'!$H$114:$H$117,'300 &amp; 317'!$H$119:$H$122,'300 &amp; 317'!$H$124:$H$126,'300 &amp; 317'!$H$128:$H$129,'300 &amp; 317'!$H$131:$H$137,'300 &amp; 317'!$H$139:$H$140,'300 &amp; 317'!$H$142,'300 &amp; 317'!$H$144:$H$146,'300 &amp; 317'!$H$148</definedName>
    <definedName name="OSRRefH22x_0" localSheetId="50">'301'!$H$21:$H$30,'301'!$H$32:$H$41,'301'!$H$43,'301'!$H$45,'301'!$H$47,'301'!$H$49:$H$50,'301'!$H$52:$H$53,'301'!$H$55,'301'!$H$57,'301'!$H$59,'301'!$H$61,'301'!$H$63,'301'!$H$65,'301'!$H$67,'301'!$H$69,'301'!$H$71:$H$74,'301'!$H$76:$H$77,'301'!$H$79,'301'!$H$81:$H$86,'301'!$H$88,'301'!$H$90,'301'!$H$92:$H$93,'301'!$H$95</definedName>
    <definedName name="OSRRefH22x_0" localSheetId="52">'307'!$H$34:$H$41,'307'!$H$43:$H$52,'307'!$H$54,'307'!$H$56,'307'!$H$58,'307'!$H$60:$H$61,'307'!$H$63,'307'!$H$65,'307'!$H$67,'307'!$H$69:$H$70,'307'!$H$72:$H$73,'307'!$H$75:$H$78,'307'!$H$80</definedName>
    <definedName name="OSRRefH22x_0" localSheetId="53">'308'!$H$35:$H$44,'308'!$H$46:$H$55,'308'!$H$57,'308'!$H$59,'308'!$H$61,'308'!$H$63,'308'!$H$65,'308'!$H$67,'308'!$H$69:$H$71,'308'!$H$73,'308'!$H$75:$H$76,'308'!$H$78:$H$79,'308'!$H$81</definedName>
    <definedName name="OSRRefH22x_0" localSheetId="63">'309'!$H$20,'309'!$H$22,'309'!$H$24,'309'!$H$26,'309'!$H$28:$H$29,'309'!$H$31,'309'!$H$33</definedName>
    <definedName name="OSRRefH22x_0" localSheetId="62">'310'!$H$27:$H$35,'310'!$H$37:$H$46,'310'!$H$48,'310'!$H$50,'310'!$H$52,'310'!$H$54:$H$55,'310'!$H$57,'310'!$H$59,'310'!$H$61,'310'!$H$63,'310'!$H$65,'310'!$H$67:$H$69,'310'!$H$71,'310'!$H$73:$H$75,'310'!$H$77:$H$81,'310'!$H$83:$H$84,'310'!$H$86,'310'!$H$88</definedName>
    <definedName name="OSRRefH22x_0" localSheetId="69">'310 &amp; 491'!$H$29:$H$37,'310 &amp; 491'!$H$39:$H$48,'310 &amp; 491'!$H$50,'310 &amp; 491'!$H$52,'310 &amp; 491'!$H$54,'310 &amp; 491'!$H$56:$H$57,'310 &amp; 491'!$H$59,'310 &amp; 491'!$H$61,'310 &amp; 491'!$H$63,'310 &amp; 491'!$H$65,'310 &amp; 491'!$H$67,'310 &amp; 491'!$H$69,'310 &amp; 491'!$H$71:$H$73,'310 &amp; 491'!$H$75:$H$76,'310 &amp; 491'!$H$78:$H$82,'310 &amp; 491'!$H$84,'310 &amp; 491'!$H$86:$H$95,'310 &amp; 491'!$H$97:$H$98,'310 &amp; 491'!$H$100,'310 &amp; 491'!$H$102,'310 &amp; 491'!$H$104</definedName>
    <definedName name="OSRRefH22x_0" localSheetId="54">'311'!$H$35:$H$44,'311'!$H$46:$H$55,'311'!$H$57,'311'!$H$59,'311'!$H$61,'311'!$H$63,'311'!$H$65,'311'!$H$67,'311'!$H$69:$H$71,'311'!$H$73,'311'!$H$75:$H$76,'311'!$H$78:$H$79,'311'!$H$81</definedName>
    <definedName name="OSRRefH22x_0" localSheetId="57">'315'!$H$44:$H$52,'315'!$H$54:$H$63,'315'!$H$65,'315'!$H$67,'315'!$H$69,'315'!$H$71,'315'!$H$73,'315'!$H$75,'315'!$H$77:$H$78,'315'!$H$80,'315'!$H$82,'315'!$H$84,'315'!$H$86:$H$87,'315'!$H$89:$H$91,'315'!$H$93:$H$94,'315'!$H$96:$H$99,'315'!$H$101,'315'!$H$103</definedName>
    <definedName name="OSRRefH22x_0" localSheetId="59">'316'!$H$27:$H$35,'316'!$H$37:$H$46,'316'!$H$48,'316'!$H$50,'316'!$H$52,'316'!$H$54:$H$55,'316'!$H$57,'316'!$H$59:$H$61,'316'!$H$63,'316'!$H$65:$H$68,'316'!$H$70</definedName>
    <definedName name="OSRRefH22x_0" localSheetId="61">'317'!$H$35:$H$44,'317'!$H$46:$H$55,'317'!$H$57,'317'!$H$59,'317'!$H$61,'317'!$H$63,'317'!$H$65,'317'!$H$67,'317'!$H$69:$H$70,'317'!$H$72</definedName>
    <definedName name="OSRRefH22x_0" localSheetId="64">'321'!$H$24:$H$32,'321'!$H$34:$H$43,'321'!$H$45,'321'!$H$47,'321'!$H$49,'321'!$H$51,'321'!$H$53:$H$54,'321'!$H$56,'321'!$H$58:$H$59,'321'!$H$61:$H$64,'321'!$H$66,'321'!$H$68</definedName>
    <definedName name="OSRRefH22x_0" localSheetId="65">'325'!$H$25:$H$33,'325'!$H$35:$H$44,'325'!$H$46,'325'!$H$48,'325'!$H$50,'325'!$H$52:$H$53,'325'!$H$55,'325'!$H$57,'325'!$H$59,'325'!$H$61,'325'!$H$63,'325'!$H$65:$H$67,'325'!$H$69:$H$71,'325'!$H$73:$H$77,'325'!$H$79:$H$80,'325'!$H$82</definedName>
    <definedName name="OSRRefH22x_0" localSheetId="66">'326'!$H$28:$H$36,'326'!$H$38:$H$47,'326'!$H$49,'326'!$H$51,'326'!$H$53,'326'!$H$55,'326'!$H$57:$H$58,'326'!$H$60,'326'!$H$62,'326'!$H$64,'326'!$H$66,'326'!$H$68:$H$69,'326'!$H$71:$H$72,'326'!$H$74:$H$75,'326'!$H$77:$H$79,'326'!$H$81,'326'!$H$83:$H$84,'326'!$H$86</definedName>
    <definedName name="OSRRefH22x_0" localSheetId="67">'327'!$H$26</definedName>
    <definedName name="OSRRefH22x_0" localSheetId="51">'330'!$H$34:$H$41,'330'!$H$43:$H$52,'330'!$H$54,'330'!$H$56,'330'!$H$58,'330'!$H$60:$H$61,'330'!$H$63,'330'!$H$65,'330'!$H$67,'330'!$H$69:$H$70,'330'!$H$72:$H$73,'330'!$H$75:$H$78,'330'!$H$80</definedName>
    <definedName name="OSRRefH22x_0" localSheetId="56">'331'!$H$44:$H$52,'331'!$H$54:$H$63,'331'!$H$65,'331'!$H$67,'331'!$H$69,'331'!$H$71,'331'!$H$73,'331'!$H$75,'331'!$H$77:$H$78,'331'!$H$80:$H$81,'331'!$H$83,'331'!$H$85,'331'!$H$87,'331'!$H$89,'331'!$H$91:$H$92,'331'!$H$94:$H$96,'331'!$H$98:$H$99,'331'!$H$101:$H$102,'331'!$H$104:$H$108,'331'!$H$110,'331'!$H$112:$H$113,'331'!$H$115</definedName>
    <definedName name="OSRRefH22x_0" localSheetId="58">'332'!$H$27:$H$35,'332'!$H$37:$H$46,'332'!$H$48,'332'!$H$50,'332'!$H$52,'332'!$H$54:$H$55,'332'!$H$57,'332'!$H$59:$H$61,'332'!$H$63,'332'!$H$65:$H$68,'332'!$H$70</definedName>
    <definedName name="OSRRefH22x_0" localSheetId="71">'405'!$H$27:$H$35,'405'!$H$37:$H$46,'405'!$H$48,'405'!$H$50,'405'!$H$52,'405'!$H$54:$H$55,'405'!$H$57,'405'!$H$59,'405'!$H$61,'405'!$H$63:$H$64,'405'!$H$66:$H$69,'405'!$H$71,'405'!$H$73:$H$80,'405'!$H$82,'405'!$H$84,'405'!$H$86</definedName>
    <definedName name="OSRRefH22x_0" localSheetId="72">'406'!$H$20,'406'!$H$22</definedName>
    <definedName name="OSRRefH22x_0" localSheetId="73">'411'!$H$20:$H$28,'411'!$H$30:$H$39,'411'!$H$41,'411'!$H$43:$H$44,'411'!$H$46,'411'!$H$48,'411'!$H$50,'411'!$H$52,'411'!$H$54:$H$56,'411'!$H$58:$H$60,'411'!$H$62,'411'!$H$64,'411'!$H$66,'411'!$H$68,'411'!$H$70</definedName>
    <definedName name="OSRRefH22x_0" localSheetId="74">'412'!$H$20,'412'!$H$22,'412'!$H$24,'412'!$H$26</definedName>
    <definedName name="OSRRefH22x_0" localSheetId="75">'413'!$H$20,'413'!$H$22,'413'!$H$24</definedName>
    <definedName name="OSRRefH22x_0" localSheetId="76">'414'!$H$20,'414'!$H$22,'414'!$H$24</definedName>
    <definedName name="OSRRefH22x_0" localSheetId="77">'415'!$H$27:$H$35,'415'!$H$37:$H$46,'415'!$H$48,'415'!$H$50,'415'!$H$52,'415'!$H$54:$H$55,'415'!$H$57,'415'!$H$59,'415'!$H$61,'415'!$H$63,'415'!$H$65,'415'!$H$67:$H$68,'415'!$H$70:$H$73,'415'!$H$75,'415'!$H$77:$H$82,'415'!$H$84:$H$85,'415'!$H$87,'415'!$H$89</definedName>
    <definedName name="OSRRefH22x_0" localSheetId="78">'418'!$H$24:$H$32,'418'!$H$34:$H$43,'418'!$H$45,'418'!$H$47,'418'!$H$49:$H$50,'418'!$H$52,'418'!$H$54,'418'!$H$56,'418'!$H$58:$H$59,'418'!$H$61:$H$64,'418'!$H$66,'418'!$H$68:$H$75,'418'!$H$77:$H$78,'418'!$H$80,'418'!$H$82</definedName>
    <definedName name="OSRRefH22x_0" localSheetId="79">'423'!$H$20:$H$27,'423'!$H$29:$H$38,'423'!$H$40,'423'!$H$42,'423'!$H$44,'423'!$H$46</definedName>
    <definedName name="OSRRefH22x_0" localSheetId="80">'424'!$H$20,'424'!$H$22,'424'!$H$24</definedName>
    <definedName name="OSRRefH22x_0" localSheetId="81">'425'!$H$22,'425'!$H$24,'425'!$H$26,'425'!$H$28,'425'!$H$30,'425'!$H$32</definedName>
    <definedName name="OSRRefH22x_0" localSheetId="83">'430'!$H$20:$H$28,'430'!$H$30:$H$39,'430'!$H$41,'430'!$H$43,'430'!$H$45,'430'!$H$47:$H$48,'430'!$H$50:$H$51,'430'!$H$53,'430'!$H$55</definedName>
    <definedName name="OSRRefH22x_0" localSheetId="84">'433'!$H$27:$H$36,'433'!$H$38:$H$47,'433'!$H$49,'433'!$H$51,'433'!$H$53,'433'!$H$55,'433'!$H$57,'433'!$H$59,'433'!$H$61,'433'!$H$63,'433'!$H$65,'433'!$H$67:$H$69,'433'!$H$71:$H$74,'433'!$H$76:$H$83,'433'!$H$85</definedName>
    <definedName name="OSRRefH22x_0" localSheetId="85">'444'!$H$27:$H$36,'444'!$H$38:$H$47,'444'!$H$49,'444'!$H$51,'444'!$H$53,'444'!$H$55,'444'!$H$57,'444'!$H$59,'444'!$H$61,'444'!$H$63,'444'!$H$65,'444'!$H$67:$H$68,'444'!$H$70:$H$73,'444'!$H$75,'444'!$H$77:$H$84,'444'!$H$86,'444'!$H$88</definedName>
    <definedName name="OSRRefH22x_0" localSheetId="86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70">'491'!$H$28:$H$36,'491'!$H$38:$H$47,'491'!$H$49,'491'!$H$51,'491'!$H$53,'491'!$H$55:$H$56,'491'!$H$58,'491'!$H$60,'491'!$H$62,'491'!$H$64,'491'!$H$66,'491'!$H$68,'491'!$H$70:$H$72,'491'!$H$74,'491'!$H$76:$H$80,'491'!$H$82,'491'!$H$84:$H$92,'491'!$H$94:$H$95,'491'!$H$97,'491'!$H$99,'491'!$H$101</definedName>
    <definedName name="OSRRefH22x_0" localSheetId="82">'492'!$H$27:$H$36,'492'!$H$38:$H$47,'492'!$H$49,'492'!$H$51,'492'!$H$53,'492'!$H$55,'492'!$H$57,'492'!$H$59,'492'!$H$61,'492'!$H$63,'492'!$H$65,'492'!$H$67,'492'!$H$69:$H$71,'492'!$H$73:$H$76,'492'!$H$78,'492'!$H$80:$H$87,'492'!$H$89:$H$90,'492'!$H$92,'492'!$H$94:$H$95</definedName>
    <definedName name="OSRRefH22x_0" localSheetId="88">'501'!$H$21:$H$30,'501'!$H$32:$H$41,'501'!$H$43,'501'!$H$45,'501'!$H$47,'501'!$H$49:$H$50,'501'!$H$52,'501'!$H$54,'501'!$H$56,'501'!$H$58:$H$60,'501'!$H$62,'501'!$H$64:$H$66,'501'!$H$68,'501'!$H$70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2'!$H$77:$H$78,'Div 2'!$H$80:$H$85,'Div 2'!$H$87:$H$88,'Div 2'!$H$90,'Div 2'!$H$92:$H$93</definedName>
    <definedName name="OSRRefH22x_0" localSheetId="47">'Div 3'!$H$58:$H$67,'Div 3'!$H$69:$H$78,'Div 3'!$H$80,'Div 3'!$H$82,'Div 3'!$H$84,'Div 3'!$H$86:$H$87,'Div 3'!$H$89:$H$90,'Div 3'!$H$92,'Div 3'!$H$94,'Div 3'!$H$96,'Div 3'!$H$98:$H$99,'Div 3'!$H$101:$H$102,'Div 3'!$H$104,'Div 3'!$H$106,'Div 3'!$H$108,'Div 3'!$H$110,'Div 3'!$H$112,'Div 3'!$H$114:$H$117,'Div 3'!$H$119:$H$122,'Div 3'!$H$124:$H$127,'Div 3'!$H$129:$H$130,'Div 3'!$H$132:$H$138,'Div 3'!$H$140:$H$141,'Div 3'!$H$143,'Div 3'!$H$145:$H$147,'Div 3'!$H$149</definedName>
    <definedName name="OSRRefH22x_0" localSheetId="68">'Div 4'!$H$29:$H$38,'Div 4'!$H$40:$H$49,'Div 4'!$H$51,'Div 4'!$H$53,'Div 4'!$H$55,'Div 4'!$H$57:$H$58,'Div 4'!$H$60,'Div 4'!$H$62,'Div 4'!$H$64,'Div 4'!$H$66,'Div 4'!$H$68,'Div 4'!$H$70,'Div 4'!$H$72,'Div 4'!$H$74,'Div 4'!$H$76:$H$78,'Div 4'!$H$80,'Div 4'!$H$82:$H$86,'Div 4'!$H$88:$H$89,'Div 4'!$H$91:$H$100,'Div 4'!$H$102:$H$103,'Div 4'!$H$105,'Div 4'!$H$107:$H$108,'Div 4'!$H$110</definedName>
    <definedName name="OSRRefH22x_0" localSheetId="87">'Div 5'!$H$21:$H$30,'Div 5'!$H$32:$H$41,'Div 5'!$H$43,'Div 5'!$H$45,'Div 5'!$H$47,'Div 5'!$H$49:$H$50,'Div 5'!$H$52,'Div 5'!$H$54,'Div 5'!$H$56,'Div 5'!$H$58:$H$60,'Div 5'!$H$62,'Div 5'!$H$64:$H$66,'Div 5'!$H$68,'Div 5'!$H$70</definedName>
    <definedName name="OSRRefH22x_0" localSheetId="60">'Div 6'!$H$35:$H$44,'Div 6'!$H$46:$H$55,'Div 6'!$H$57,'Div 6'!$H$59,'Div 6'!$H$61,'Div 6'!$H$63,'Div 6'!$H$65,'Div 6'!$H$67,'Div 6'!$H$69:$H$70,'Div 6'!$H$72</definedName>
    <definedName name="OSRRefH22x_0" localSheetId="2">Summary!$H$66:$H$75,Summary!$H$77:$H$86,Summary!$H$88,Summary!$H$90,Summary!$H$92,Summary!$H$94:$H$95,Summary!$H$97:$H$98,Summary!$H$100,Summary!$H$102,Summary!$H$104,Summary!$H$106:$H$107,Summary!$H$109:$H$110,Summary!$H$112,Summary!$H$114,Summary!$H$116,Summary!$H$118,Summary!$H$120,Summary!$H$122,Summary!$H$124:$H$127,Summary!$H$129:$H$132,Summary!$H$134:$H$138,Summary!$H$140:$H$141,Summary!$H$143:$H$152,Summary!$H$154:$H$155,Summary!$H$157,Summary!$H$159:$H$161,Summary!$H$163</definedName>
    <definedName name="OSRRefH25x_0" localSheetId="48">'300'!$H$145:$H$149</definedName>
    <definedName name="OSRRefH25x_0" localSheetId="49">'300 &amp; 317'!$H$151:$H$157</definedName>
    <definedName name="OSRRefH25x_0" localSheetId="50">'301'!$H$98:$H$99</definedName>
    <definedName name="OSRRefH25x_0" localSheetId="53">'308'!$H$84:$H$87</definedName>
    <definedName name="OSRRefH25x_0" localSheetId="69">'310 &amp; 491'!$H$107:$H$109</definedName>
    <definedName name="OSRRefH25x_0" localSheetId="54">'311'!$H$84:$H$87</definedName>
    <definedName name="OSRRefH25x_0" localSheetId="57">'315'!$H$106:$H$108</definedName>
    <definedName name="OSRRefH25x_0" localSheetId="59">'316'!$H$73</definedName>
    <definedName name="OSRRefH25x_0" localSheetId="61">'317'!$H$75:$H$77</definedName>
    <definedName name="OSRRefH25x_0" localSheetId="56">'331'!$H$118:$H$120</definedName>
    <definedName name="OSRRefH25x_0" localSheetId="58">'332'!$H$73</definedName>
    <definedName name="OSRRefH25x_0" localSheetId="71">'405'!$H$89</definedName>
    <definedName name="OSRRefH25x_0" localSheetId="73">'411'!$H$73</definedName>
    <definedName name="OSRRefH25x_0" localSheetId="77">'415'!$H$92</definedName>
    <definedName name="OSRRefH25x_0" localSheetId="78">'418'!$H$85</definedName>
    <definedName name="OSRRefH25x_0" localSheetId="79">'423'!$H$49</definedName>
    <definedName name="OSRRefH25x_0" localSheetId="70">'491'!$H$104:$H$106</definedName>
    <definedName name="OSRRefH25x_0" localSheetId="88">'501'!$H$73</definedName>
    <definedName name="OSRRefH25x_0" localSheetId="47">'Div 3'!$H$152:$H$156</definedName>
    <definedName name="OSRRefH25x_0" localSheetId="68">'Div 4'!$H$113:$H$115</definedName>
    <definedName name="OSRRefH25x_0" localSheetId="87">'Div 5'!$H$73</definedName>
    <definedName name="OSRRefH25x_0" localSheetId="60">'Div 6'!$H$75:$H$77</definedName>
    <definedName name="OSRRefH25x_0" localSheetId="2">Summary!$H$166:$H$173</definedName>
    <definedName name="OSRRefP13x_0" localSheetId="48">'300'!$P$13:$P$19</definedName>
    <definedName name="OSRRefP13x_0" localSheetId="49">'300 &amp; 317'!$P$13:$P$19</definedName>
    <definedName name="OSRRefP13x_0" localSheetId="52">'307'!$P$13:$P$16</definedName>
    <definedName name="OSRRefP13x_0" localSheetId="53">'308'!$P$13:$P$17</definedName>
    <definedName name="OSRRefP13x_0" localSheetId="62">'310'!$P$13:$P$16</definedName>
    <definedName name="OSRRefP13x_0" localSheetId="69">'310 &amp; 491'!$P$13:$P$18</definedName>
    <definedName name="OSRRefP13x_0" localSheetId="54">'311'!$P$13:$P$17</definedName>
    <definedName name="OSRRefP13x_0" localSheetId="57">'315'!$P$13:$P$17</definedName>
    <definedName name="OSRRefP13x_0" localSheetId="59">'316'!$P$13:$P$17</definedName>
    <definedName name="OSRRefP13x_0" localSheetId="61">'317'!$P$13:$P$17</definedName>
    <definedName name="OSRRefP13x_0" localSheetId="64">'321'!$P$13:$P$14</definedName>
    <definedName name="OSRRefP13x_0" localSheetId="55">'324'!$P$13:$P$14</definedName>
    <definedName name="OSRRefP13x_0" localSheetId="65">'325'!$P$13:$P$14</definedName>
    <definedName name="OSRRefP13x_0" localSheetId="66">'326'!$P$13:$P$16</definedName>
    <definedName name="OSRRefP13x_0" localSheetId="67">'327'!$P$13:$P$15</definedName>
    <definedName name="OSRRefP13x_0" localSheetId="51">'330'!$P$13:$P$16</definedName>
    <definedName name="OSRRefP13x_0" localSheetId="56">'331'!$P$13:$P$17</definedName>
    <definedName name="OSRRefP13x_0" localSheetId="58">'332'!$P$13:$P$17</definedName>
    <definedName name="OSRRefP13x_0" localSheetId="71">'405'!$P$13:$P$16</definedName>
    <definedName name="OSRRefP13x_0" localSheetId="77">'415'!$P$13:$P$16</definedName>
    <definedName name="OSRRefP13x_0" localSheetId="78">'418'!$P$13:$P$14</definedName>
    <definedName name="OSRRefP13x_0" localSheetId="81">'425'!$P$13</definedName>
    <definedName name="OSRRefP13x_0" localSheetId="84">'433'!$P$13:$P$16</definedName>
    <definedName name="OSRRefP13x_0" localSheetId="85">'444'!$P$13:$P$16</definedName>
    <definedName name="OSRRefP13x_0" localSheetId="86">'450'!$P$13:$P$16</definedName>
    <definedName name="OSRRefP13x_0" localSheetId="70">'491'!$P$13:$P$17</definedName>
    <definedName name="OSRRefP13x_0" localSheetId="82">'492'!$P$13:$P$16</definedName>
    <definedName name="OSRRefP13x_0" localSheetId="88">'501'!$P$13</definedName>
    <definedName name="OSRRefP13x_0" localSheetId="47">'Div 3'!$P$13:$P$21</definedName>
    <definedName name="OSRRefP13x_0" localSheetId="68">'Div 4'!$P$13:$P$18</definedName>
    <definedName name="OSRRefP13x_0" localSheetId="87">'Div 5'!$P$13</definedName>
    <definedName name="OSRRefP13x_0" localSheetId="60">'Div 6'!$P$13:$P$17</definedName>
    <definedName name="OSRRefP13x_0" localSheetId="2">Summary!$P$13:$P$23</definedName>
    <definedName name="OSRRefP16x_0" localSheetId="48">'300'!$P$22:$P$48</definedName>
    <definedName name="OSRRefP16x_0" localSheetId="49">'300 &amp; 317'!$P$22:$P$54</definedName>
    <definedName name="OSRRefP16x_0" localSheetId="50">'301'!$P$15</definedName>
    <definedName name="OSRRefP16x_0" localSheetId="52">'307'!$P$19:$P$28</definedName>
    <definedName name="OSRRefP16x_0" localSheetId="53">'308'!$P$20:$P$29</definedName>
    <definedName name="OSRRefP16x_0" localSheetId="62">'310'!$P$19:$P$21</definedName>
    <definedName name="OSRRefP16x_0" localSheetId="69">'310 &amp; 491'!$P$21:$P$23</definedName>
    <definedName name="OSRRefP16x_0" localSheetId="54">'311'!$P$20:$P$29</definedName>
    <definedName name="OSRRefP16x_0" localSheetId="57">'315'!$P$20:$P$38</definedName>
    <definedName name="OSRRefP16x_0" localSheetId="59">'316'!$P$20:$P$21</definedName>
    <definedName name="OSRRefP16x_0" localSheetId="61">'317'!$P$20:$P$29</definedName>
    <definedName name="OSRRefP16x_0" localSheetId="64">'321'!$P$17:$P$18</definedName>
    <definedName name="OSRRefP16x_0" localSheetId="55">'324'!$P$17</definedName>
    <definedName name="OSRRefP16x_0" localSheetId="65">'325'!$P$17:$P$19</definedName>
    <definedName name="OSRRefP16x_0" localSheetId="66">'326'!$P$19:$P$22</definedName>
    <definedName name="OSRRefP16x_0" localSheetId="67">'327'!$P$18:$P$20</definedName>
    <definedName name="OSRRefP16x_0" localSheetId="51">'330'!$P$19:$P$28</definedName>
    <definedName name="OSRRefP16x_0" localSheetId="56">'331'!$P$20:$P$38</definedName>
    <definedName name="OSRRefP16x_0" localSheetId="58">'332'!$P$20:$P$21</definedName>
    <definedName name="OSRRefP16x_0" localSheetId="71">'405'!$P$19:$P$21</definedName>
    <definedName name="OSRRefP16x_0" localSheetId="77">'415'!$P$19:$P$21</definedName>
    <definedName name="OSRRefP16x_0" localSheetId="78">'418'!$P$17:$P$18</definedName>
    <definedName name="OSRRefP16x_0" localSheetId="81">'425'!$P$16</definedName>
    <definedName name="OSRRefP16x_0" localSheetId="84">'433'!$P$19:$P$21</definedName>
    <definedName name="OSRRefP16x_0" localSheetId="85">'444'!$P$19:$P$21</definedName>
    <definedName name="OSRRefP16x_0" localSheetId="86">'450'!$P$19:$P$21</definedName>
    <definedName name="OSRRefP16x_0" localSheetId="70">'491'!$P$20:$P$22</definedName>
    <definedName name="OSRRefP16x_0" localSheetId="82">'492'!$P$19:$P$21</definedName>
    <definedName name="OSRRefP16x_0" localSheetId="47">'Div 3'!$P$24:$P$52</definedName>
    <definedName name="OSRRefP16x_0" localSheetId="68">'Div 4'!$P$21:$P$23</definedName>
    <definedName name="OSRRefP16x_0" localSheetId="60">'Div 6'!$P$20:$P$29</definedName>
    <definedName name="OSRRefP16x_0" localSheetId="2">Summary!$P$26:$P$60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'300'!$P$54:$P$63</definedName>
    <definedName name="OSRRefP22_0x_0" localSheetId="49">'300 &amp; 317'!$P$60:$P$69</definedName>
    <definedName name="OSRRefP22_0x_0" localSheetId="50">'301'!$P$21:$P$30</definedName>
    <definedName name="OSRRefP22_0x_0" localSheetId="52">'307'!$P$34:$P$41</definedName>
    <definedName name="OSRRefP22_0x_0" localSheetId="53">'308'!$P$35:$P$44</definedName>
    <definedName name="OSRRefP22_0x_0" localSheetId="63">'309'!$P$20</definedName>
    <definedName name="OSRRefP22_0x_0" localSheetId="62">'310'!$P$27:$P$35</definedName>
    <definedName name="OSRRefP22_0x_0" localSheetId="69">'310 &amp; 491'!$P$29:$P$37</definedName>
    <definedName name="OSRRefP22_0x_0" localSheetId="54">'311'!$P$35:$P$44</definedName>
    <definedName name="OSRRefP22_0x_0" localSheetId="57">'315'!$P$44:$P$52</definedName>
    <definedName name="OSRRefP22_0x_0" localSheetId="59">'316'!$P$27:$P$35</definedName>
    <definedName name="OSRRefP22_0x_0" localSheetId="61">'317'!$P$35:$P$44</definedName>
    <definedName name="OSRRefP22_0x_0" localSheetId="64">'321'!$P$24:$P$32</definedName>
    <definedName name="OSRRefP22_0x_0" localSheetId="65">'325'!$P$25:$P$33</definedName>
    <definedName name="OSRRefP22_0x_0" localSheetId="66">'326'!$P$28:$P$36</definedName>
    <definedName name="OSRRefP22_0x_0" localSheetId="67">'327'!$P$26</definedName>
    <definedName name="OSRRefP22_0x_0" localSheetId="51">'330'!$P$34:$P$41</definedName>
    <definedName name="OSRRefP22_0x_0" localSheetId="56">'331'!$P$44:$P$52</definedName>
    <definedName name="OSRRefP22_0x_0" localSheetId="58">'332'!$P$27:$P$35</definedName>
    <definedName name="OSRRefP22_0x_0" localSheetId="71">'405'!$P$27:$P$35</definedName>
    <definedName name="OSRRefP22_0x_0" localSheetId="72">'406'!$P$20</definedName>
    <definedName name="OSRRefP22_0x_0" localSheetId="73">'411'!$P$20:$P$28</definedName>
    <definedName name="OSRRefP22_0x_0" localSheetId="74">'412'!$P$20</definedName>
    <definedName name="OSRRefP22_0x_0" localSheetId="75">'413'!$P$20</definedName>
    <definedName name="OSRRefP22_0x_0" localSheetId="76">'414'!$P$20</definedName>
    <definedName name="OSRRefP22_0x_0" localSheetId="77">'415'!$P$27:$P$35</definedName>
    <definedName name="OSRRefP22_0x_0" localSheetId="78">'418'!$P$24:$P$32</definedName>
    <definedName name="OSRRefP22_0x_0" localSheetId="79">'423'!$P$20:$P$27</definedName>
    <definedName name="OSRRefP22_0x_0" localSheetId="80">'424'!$P$20</definedName>
    <definedName name="OSRRefP22_0x_0" localSheetId="81">'425'!$P$22</definedName>
    <definedName name="OSRRefP22_0x_0" localSheetId="83">'430'!$P$20:$P$28</definedName>
    <definedName name="OSRRefP22_0x_0" localSheetId="84">'433'!$P$27:$P$36</definedName>
    <definedName name="OSRRefP22_0x_0" localSheetId="85">'444'!$P$27:$P$36</definedName>
    <definedName name="OSRRefP22_0x_0" localSheetId="86">'450'!$P$27:$P$36</definedName>
    <definedName name="OSRRefP22_0x_0" localSheetId="70">'491'!$P$28:$P$36</definedName>
    <definedName name="OSRRefP22_0x_0" localSheetId="82">'492'!$P$27:$P$36</definedName>
    <definedName name="OSRRefP22_0x_0" localSheetId="88">'501'!$P$21:$P$30</definedName>
    <definedName name="OSRRefP22_0x_0" localSheetId="39">'Div 2'!$P$20:$P$30</definedName>
    <definedName name="OSRRefP22_0x_0" localSheetId="47">'Div 3'!$P$58:$P$67</definedName>
    <definedName name="OSRRefP22_0x_0" localSheetId="68">'Div 4'!$P$29:$P$38</definedName>
    <definedName name="OSRRefP22_0x_0" localSheetId="87">'Div 5'!$P$21:$P$30</definedName>
    <definedName name="OSRRefP22_0x_0" localSheetId="60">'Div 6'!$P$35:$P$44</definedName>
    <definedName name="OSRRefP22_0x_0" localSheetId="2">Summary!$P$66:$P$75</definedName>
    <definedName name="OSRRefP22_10x_0" localSheetId="41">'201'!$P$59:$P$60</definedName>
    <definedName name="OSRRefP22_10x_0" localSheetId="42">'202'!$P$59</definedName>
    <definedName name="OSRRefP22_10x_0" localSheetId="43">'203'!$P$61</definedName>
    <definedName name="OSRRefP22_10x_0" localSheetId="44">'204'!$P$62</definedName>
    <definedName name="OSRRefP22_10x_0" localSheetId="48">'300'!$P$94:$P$95</definedName>
    <definedName name="OSRRefP22_10x_0" localSheetId="49">'300 &amp; 317'!$P$100:$P$101</definedName>
    <definedName name="OSRRefP22_10x_0" localSheetId="50">'301'!$P$61</definedName>
    <definedName name="OSRRefP22_10x_0" localSheetId="52">'307'!$P$72:$P$73</definedName>
    <definedName name="OSRRefP22_10x_0" localSheetId="53">'308'!$P$75:$P$76</definedName>
    <definedName name="OSRRefP22_10x_0" localSheetId="62">'310'!$P$65</definedName>
    <definedName name="OSRRefP22_10x_0" localSheetId="69">'310 &amp; 491'!$P$67</definedName>
    <definedName name="OSRRefP22_10x_0" localSheetId="54">'311'!$P$75:$P$76</definedName>
    <definedName name="OSRRefP22_10x_0" localSheetId="57">'315'!$P$82</definedName>
    <definedName name="OSRRefP22_10x_0" localSheetId="59">'316'!$P$70</definedName>
    <definedName name="OSRRefP22_10x_0" localSheetId="64">'321'!$P$66</definedName>
    <definedName name="OSRRefP22_10x_0" localSheetId="65">'325'!$P$63</definedName>
    <definedName name="OSRRefP22_10x_0" localSheetId="66">'326'!$P$66</definedName>
    <definedName name="OSRRefP22_10x_0" localSheetId="51">'330'!$P$72:$P$73</definedName>
    <definedName name="OSRRefP22_10x_0" localSheetId="56">'331'!$P$83</definedName>
    <definedName name="OSRRefP22_10x_0" localSheetId="58">'332'!$P$70</definedName>
    <definedName name="OSRRefP22_10x_0" localSheetId="71">'405'!$P$66:$P$69</definedName>
    <definedName name="OSRRefP22_10x_0" localSheetId="73">'411'!$P$62</definedName>
    <definedName name="OSRRefP22_10x_0" localSheetId="77">'415'!$P$65</definedName>
    <definedName name="OSRRefP22_10x_0" localSheetId="78">'418'!$P$66</definedName>
    <definedName name="OSRRefP22_10x_0" localSheetId="84">'433'!$P$65</definedName>
    <definedName name="OSRRefP22_10x_0" localSheetId="85">'444'!$P$65</definedName>
    <definedName name="OSRRefP22_10x_0" localSheetId="86">'450'!$P$65</definedName>
    <definedName name="OSRRefP22_10x_0" localSheetId="70">'491'!$P$66</definedName>
    <definedName name="OSRRefP22_10x_0" localSheetId="82">'492'!$P$65</definedName>
    <definedName name="OSRRefP22_10x_0" localSheetId="88">'501'!$P$62</definedName>
    <definedName name="OSRRefP22_10x_0" localSheetId="39">'Div 2'!$P$60</definedName>
    <definedName name="OSRRefP22_10x_0" localSheetId="47">'Div 3'!$P$98:$P$99</definedName>
    <definedName name="OSRRefP22_10x_0" localSheetId="68">'Div 4'!$P$68</definedName>
    <definedName name="OSRRefP22_10x_0" localSheetId="87">'Div 5'!$P$62</definedName>
    <definedName name="OSRRefP22_10x_0" localSheetId="2">Summary!$P$106:$P$107</definedName>
    <definedName name="OSRRefP22_11x_0" localSheetId="41">'201'!$P$62</definedName>
    <definedName name="OSRRefP22_11x_0" localSheetId="42">'202'!$P$61</definedName>
    <definedName name="OSRRefP22_11x_0" localSheetId="43">'203'!$P$63:$P$66</definedName>
    <definedName name="OSRRefP22_11x_0" localSheetId="48">'300'!$P$97:$P$98</definedName>
    <definedName name="OSRRefP22_11x_0" localSheetId="49">'300 &amp; 317'!$P$103:$P$104</definedName>
    <definedName name="OSRRefP22_11x_0" localSheetId="50">'301'!$P$63</definedName>
    <definedName name="OSRRefP22_11x_0" localSheetId="52">'307'!$P$75:$P$78</definedName>
    <definedName name="OSRRefP22_11x_0" localSheetId="53">'308'!$P$78:$P$79</definedName>
    <definedName name="OSRRefP22_11x_0" localSheetId="62">'310'!$P$67:$P$69</definedName>
    <definedName name="OSRRefP22_11x_0" localSheetId="69">'310 &amp; 491'!$P$69</definedName>
    <definedName name="OSRRefP22_11x_0" localSheetId="54">'311'!$P$78:$P$79</definedName>
    <definedName name="OSRRefP22_11x_0" localSheetId="57">'315'!$P$84</definedName>
    <definedName name="OSRRefP22_11x_0" localSheetId="64">'321'!$P$68</definedName>
    <definedName name="OSRRefP22_11x_0" localSheetId="65">'325'!$P$65:$P$67</definedName>
    <definedName name="OSRRefP22_11x_0" localSheetId="66">'326'!$P$68:$P$69</definedName>
    <definedName name="OSRRefP22_11x_0" localSheetId="51">'330'!$P$75:$P$78</definedName>
    <definedName name="OSRRefP22_11x_0" localSheetId="56">'331'!$P$85</definedName>
    <definedName name="OSRRefP22_11x_0" localSheetId="71">'405'!$P$71</definedName>
    <definedName name="OSRRefP22_11x_0" localSheetId="73">'411'!$P$64</definedName>
    <definedName name="OSRRefP22_11x_0" localSheetId="77">'415'!$P$67:$P$68</definedName>
    <definedName name="OSRRefP22_11x_0" localSheetId="78">'418'!$P$68:$P$75</definedName>
    <definedName name="OSRRefP22_11x_0" localSheetId="84">'433'!$P$67:$P$69</definedName>
    <definedName name="OSRRefP22_11x_0" localSheetId="85">'444'!$P$67:$P$68</definedName>
    <definedName name="OSRRefP22_11x_0" localSheetId="86">'450'!$P$67:$P$69</definedName>
    <definedName name="OSRRefP22_11x_0" localSheetId="70">'491'!$P$68</definedName>
    <definedName name="OSRRefP22_11x_0" localSheetId="82">'492'!$P$67</definedName>
    <definedName name="OSRRefP22_11x_0" localSheetId="88">'501'!$P$64:$P$66</definedName>
    <definedName name="OSRRefP22_11x_0" localSheetId="39">'Div 2'!$P$62</definedName>
    <definedName name="OSRRefP22_11x_0" localSheetId="47">'Div 3'!$P$101:$P$102</definedName>
    <definedName name="OSRRefP22_11x_0" localSheetId="68">'Div 4'!$P$70</definedName>
    <definedName name="OSRRefP22_11x_0" localSheetId="87">'Div 5'!$P$64:$P$66</definedName>
    <definedName name="OSRRefP22_11x_0" localSheetId="2">Summary!$P$109:$P$110</definedName>
    <definedName name="OSRRefP22_12x_0" localSheetId="41">'201'!$P$64:$P$65</definedName>
    <definedName name="OSRRefP22_12x_0" localSheetId="42">'202'!$P$63</definedName>
    <definedName name="OSRRefP22_12x_0" localSheetId="43">'203'!$P$68</definedName>
    <definedName name="OSRRefP22_12x_0" localSheetId="48">'300'!$P$100</definedName>
    <definedName name="OSRRefP22_12x_0" localSheetId="49">'300 &amp; 317'!$P$106</definedName>
    <definedName name="OSRRefP22_12x_0" localSheetId="50">'301'!$P$65</definedName>
    <definedName name="OSRRefP22_12x_0" localSheetId="52">'307'!$P$80</definedName>
    <definedName name="OSRRefP22_12x_0" localSheetId="53">'308'!$P$81</definedName>
    <definedName name="OSRRefP22_12x_0" localSheetId="62">'310'!$P$71</definedName>
    <definedName name="OSRRefP22_12x_0" localSheetId="69">'310 &amp; 491'!$P$71:$P$73</definedName>
    <definedName name="OSRRefP22_12x_0" localSheetId="54">'311'!$P$81</definedName>
    <definedName name="OSRRefP22_12x_0" localSheetId="57">'315'!$P$86:$P$87</definedName>
    <definedName name="OSRRefP22_12x_0" localSheetId="65">'325'!$P$69:$P$71</definedName>
    <definedName name="OSRRefP22_12x_0" localSheetId="66">'326'!$P$71:$P$72</definedName>
    <definedName name="OSRRefP22_12x_0" localSheetId="51">'330'!$P$80</definedName>
    <definedName name="OSRRefP22_12x_0" localSheetId="56">'331'!$P$87</definedName>
    <definedName name="OSRRefP22_12x_0" localSheetId="71">'405'!$P$73:$P$80</definedName>
    <definedName name="OSRRefP22_12x_0" localSheetId="73">'411'!$P$66</definedName>
    <definedName name="OSRRefP22_12x_0" localSheetId="77">'415'!$P$70:$P$73</definedName>
    <definedName name="OSRRefP22_12x_0" localSheetId="78">'418'!$P$77:$P$78</definedName>
    <definedName name="OSRRefP22_12x_0" localSheetId="84">'433'!$P$71:$P$74</definedName>
    <definedName name="OSRRefP22_12x_0" localSheetId="85">'444'!$P$70:$P$73</definedName>
    <definedName name="OSRRefP22_12x_0" localSheetId="86">'450'!$P$71:$P$74</definedName>
    <definedName name="OSRRefP22_12x_0" localSheetId="70">'491'!$P$70:$P$72</definedName>
    <definedName name="OSRRefP22_12x_0" localSheetId="82">'492'!$P$69:$P$71</definedName>
    <definedName name="OSRRefP22_12x_0" localSheetId="88">'501'!$P$68</definedName>
    <definedName name="OSRRefP22_12x_0" localSheetId="39">'Div 2'!$P$64:$P$67</definedName>
    <definedName name="OSRRefP22_12x_0" localSheetId="47">'Div 3'!$P$104</definedName>
    <definedName name="OSRRefP22_12x_0" localSheetId="68">'Div 4'!$P$72</definedName>
    <definedName name="OSRRefP22_12x_0" localSheetId="87">'Div 5'!$P$68</definedName>
    <definedName name="OSRRefP22_12x_0" localSheetId="2">Summary!$P$112</definedName>
    <definedName name="OSRRefP22_13x_0" localSheetId="41">'201'!$P$67</definedName>
    <definedName name="OSRRefP22_13x_0" localSheetId="43">'203'!$P$70</definedName>
    <definedName name="OSRRefP22_13x_0" localSheetId="48">'300'!$P$102</definedName>
    <definedName name="OSRRefP22_13x_0" localSheetId="49">'300 &amp; 317'!$P$108</definedName>
    <definedName name="OSRRefP22_13x_0" localSheetId="50">'301'!$P$67</definedName>
    <definedName name="OSRRefP22_13x_0" localSheetId="62">'310'!$P$73:$P$75</definedName>
    <definedName name="OSRRefP22_13x_0" localSheetId="69">'310 &amp; 491'!$P$75:$P$76</definedName>
    <definedName name="OSRRefP22_13x_0" localSheetId="57">'315'!$P$89:$P$91</definedName>
    <definedName name="OSRRefP22_13x_0" localSheetId="65">'325'!$P$73:$P$77</definedName>
    <definedName name="OSRRefP22_13x_0" localSheetId="66">'326'!$P$74:$P$75</definedName>
    <definedName name="OSRRefP22_13x_0" localSheetId="56">'331'!$P$89</definedName>
    <definedName name="OSRRefP22_13x_0" localSheetId="71">'405'!$P$82</definedName>
    <definedName name="OSRRefP22_13x_0" localSheetId="73">'411'!$P$68</definedName>
    <definedName name="OSRRefP22_13x_0" localSheetId="77">'415'!$P$75</definedName>
    <definedName name="OSRRefP22_13x_0" localSheetId="78">'418'!$P$80</definedName>
    <definedName name="OSRRefP22_13x_0" localSheetId="84">'433'!$P$76:$P$83</definedName>
    <definedName name="OSRRefP22_13x_0" localSheetId="85">'444'!$P$75</definedName>
    <definedName name="OSRRefP22_13x_0" localSheetId="86">'450'!$P$76:$P$82</definedName>
    <definedName name="OSRRefP22_13x_0" localSheetId="70">'491'!$P$74</definedName>
    <definedName name="OSRRefP22_13x_0" localSheetId="82">'492'!$P$73:$P$76</definedName>
    <definedName name="OSRRefP22_13x_0" localSheetId="88">'501'!$P$70</definedName>
    <definedName name="OSRRefP22_13x_0" localSheetId="39">'Div 2'!$P$69:$P$72</definedName>
    <definedName name="OSRRefP22_13x_0" localSheetId="47">'Div 3'!$P$106</definedName>
    <definedName name="OSRRefP22_13x_0" localSheetId="68">'Div 4'!$P$74</definedName>
    <definedName name="OSRRefP22_13x_0" localSheetId="87">'Div 5'!$P$70</definedName>
    <definedName name="OSRRefP22_13x_0" localSheetId="2">Summary!$P$114</definedName>
    <definedName name="OSRRefP22_14x_0" localSheetId="41">'201'!$P$69</definedName>
    <definedName name="OSRRefP22_14x_0" localSheetId="43">'203'!$P$72</definedName>
    <definedName name="OSRRefP22_14x_0" localSheetId="48">'300'!$P$104</definedName>
    <definedName name="OSRRefP22_14x_0" localSheetId="49">'300 &amp; 317'!$P$110</definedName>
    <definedName name="OSRRefP22_14x_0" localSheetId="50">'301'!$P$69</definedName>
    <definedName name="OSRRefP22_14x_0" localSheetId="62">'310'!$P$77:$P$81</definedName>
    <definedName name="OSRRefP22_14x_0" localSheetId="69">'310 &amp; 491'!$P$78:$P$82</definedName>
    <definedName name="OSRRefP22_14x_0" localSheetId="57">'315'!$P$93:$P$94</definedName>
    <definedName name="OSRRefP22_14x_0" localSheetId="65">'325'!$P$79:$P$80</definedName>
    <definedName name="OSRRefP22_14x_0" localSheetId="66">'326'!$P$77:$P$79</definedName>
    <definedName name="OSRRefP22_14x_0" localSheetId="56">'331'!$P$91:$P$92</definedName>
    <definedName name="OSRRefP22_14x_0" localSheetId="71">'405'!$P$84</definedName>
    <definedName name="OSRRefP22_14x_0" localSheetId="73">'411'!$P$70</definedName>
    <definedName name="OSRRefP22_14x_0" localSheetId="77">'415'!$P$77:$P$82</definedName>
    <definedName name="OSRRefP22_14x_0" localSheetId="78">'418'!$P$82</definedName>
    <definedName name="OSRRefP22_14x_0" localSheetId="84">'433'!$P$85</definedName>
    <definedName name="OSRRefP22_14x_0" localSheetId="85">'444'!$P$77:$P$84</definedName>
    <definedName name="OSRRefP22_14x_0" localSheetId="86">'450'!$P$84</definedName>
    <definedName name="OSRRefP22_14x_0" localSheetId="70">'491'!$P$76:$P$80</definedName>
    <definedName name="OSRRefP22_14x_0" localSheetId="82">'492'!$P$78</definedName>
    <definedName name="OSRRefP22_14x_0" localSheetId="39">'Div 2'!$P$74:$P$75</definedName>
    <definedName name="OSRRefP22_14x_0" localSheetId="47">'Div 3'!$P$108</definedName>
    <definedName name="OSRRefP22_14x_0" localSheetId="68">'Div 4'!$P$76:$P$78</definedName>
    <definedName name="OSRRefP22_14x_0" localSheetId="2">Summary!$P$116</definedName>
    <definedName name="OSRRefP22_15x_0" localSheetId="41">'201'!$P$71</definedName>
    <definedName name="OSRRefP22_15x_0" localSheetId="48">'300'!$P$106</definedName>
    <definedName name="OSRRefP22_15x_0" localSheetId="49">'300 &amp; 317'!$P$112</definedName>
    <definedName name="OSRRefP22_15x_0" localSheetId="50">'301'!$P$71:$P$74</definedName>
    <definedName name="OSRRefP22_15x_0" localSheetId="62">'310'!$P$83:$P$84</definedName>
    <definedName name="OSRRefP22_15x_0" localSheetId="69">'310 &amp; 491'!$P$84</definedName>
    <definedName name="OSRRefP22_15x_0" localSheetId="57">'315'!$P$96:$P$99</definedName>
    <definedName name="OSRRefP22_15x_0" localSheetId="65">'325'!$P$82</definedName>
    <definedName name="OSRRefP22_15x_0" localSheetId="66">'326'!$P$81</definedName>
    <definedName name="OSRRefP22_15x_0" localSheetId="56">'331'!$P$94:$P$96</definedName>
    <definedName name="OSRRefP22_15x_0" localSheetId="71">'405'!$P$86</definedName>
    <definedName name="OSRRefP22_15x_0" localSheetId="77">'415'!$P$84:$P$85</definedName>
    <definedName name="OSRRefP22_15x_0" localSheetId="85">'444'!$P$86</definedName>
    <definedName name="OSRRefP22_15x_0" localSheetId="86">'450'!$P$86</definedName>
    <definedName name="OSRRefP22_15x_0" localSheetId="70">'491'!$P$82</definedName>
    <definedName name="OSRRefP22_15x_0" localSheetId="82">'492'!$P$80:$P$87</definedName>
    <definedName name="OSRRefP22_15x_0" localSheetId="39">'Div 2'!$P$77:$P$78</definedName>
    <definedName name="OSRRefP22_15x_0" localSheetId="47">'Div 3'!$P$110</definedName>
    <definedName name="OSRRefP22_15x_0" localSheetId="68">'Div 4'!$P$80</definedName>
    <definedName name="OSRRefP22_15x_0" localSheetId="2">Summary!$P$118</definedName>
    <definedName name="OSRRefP22_16x_0" localSheetId="48">'300'!$P$108:$P$111</definedName>
    <definedName name="OSRRefP22_16x_0" localSheetId="49">'300 &amp; 317'!$P$114:$P$117</definedName>
    <definedName name="OSRRefP22_16x_0" localSheetId="50">'301'!$P$76:$P$77</definedName>
    <definedName name="OSRRefP22_16x_0" localSheetId="62">'310'!$P$86</definedName>
    <definedName name="OSRRefP22_16x_0" localSheetId="69">'310 &amp; 491'!$P$86:$P$95</definedName>
    <definedName name="OSRRefP22_16x_0" localSheetId="57">'315'!$P$101</definedName>
    <definedName name="OSRRefP22_16x_0" localSheetId="66">'326'!$P$83:$P$84</definedName>
    <definedName name="OSRRefP22_16x_0" localSheetId="56">'331'!$P$98:$P$99</definedName>
    <definedName name="OSRRefP22_16x_0" localSheetId="77">'415'!$P$87</definedName>
    <definedName name="OSRRefP22_16x_0" localSheetId="85">'444'!$P$88</definedName>
    <definedName name="OSRRefP22_16x_0" localSheetId="86">'450'!$P$88</definedName>
    <definedName name="OSRRefP22_16x_0" localSheetId="70">'491'!$P$84:$P$92</definedName>
    <definedName name="OSRRefP22_16x_0" localSheetId="82">'492'!$P$89:$P$90</definedName>
    <definedName name="OSRRefP22_16x_0" localSheetId="39">'Div 2'!$P$80:$P$85</definedName>
    <definedName name="OSRRefP22_16x_0" localSheetId="47">'Div 3'!$P$112</definedName>
    <definedName name="OSRRefP22_16x_0" localSheetId="68">'Div 4'!$P$82:$P$86</definedName>
    <definedName name="OSRRefP22_16x_0" localSheetId="2">Summary!$P$120</definedName>
    <definedName name="OSRRefP22_17x_0" localSheetId="48">'300'!$P$113:$P$116</definedName>
    <definedName name="OSRRefP22_17x_0" localSheetId="49">'300 &amp; 317'!$P$119:$P$122</definedName>
    <definedName name="OSRRefP22_17x_0" localSheetId="50">'301'!$P$79</definedName>
    <definedName name="OSRRefP22_17x_0" localSheetId="62">'310'!$P$88</definedName>
    <definedName name="OSRRefP22_17x_0" localSheetId="69">'310 &amp; 491'!$P$97:$P$98</definedName>
    <definedName name="OSRRefP22_17x_0" localSheetId="57">'315'!$P$103</definedName>
    <definedName name="OSRRefP22_17x_0" localSheetId="66">'326'!$P$86</definedName>
    <definedName name="OSRRefP22_17x_0" localSheetId="56">'331'!$P$101:$P$102</definedName>
    <definedName name="OSRRefP22_17x_0" localSheetId="77">'415'!$P$89</definedName>
    <definedName name="OSRRefP22_17x_0" localSheetId="70">'491'!$P$94:$P$95</definedName>
    <definedName name="OSRRefP22_17x_0" localSheetId="82">'492'!$P$92</definedName>
    <definedName name="OSRRefP22_17x_0" localSheetId="39">'Div 2'!$P$87:$P$88</definedName>
    <definedName name="OSRRefP22_17x_0" localSheetId="47">'Div 3'!$P$114:$P$117</definedName>
    <definedName name="OSRRefP22_17x_0" localSheetId="68">'Div 4'!$P$88:$P$89</definedName>
    <definedName name="OSRRefP22_17x_0" localSheetId="2">Summary!$P$122</definedName>
    <definedName name="OSRRefP22_18x_0" localSheetId="48">'300'!$P$118:$P$120</definedName>
    <definedName name="OSRRefP22_18x_0" localSheetId="49">'300 &amp; 317'!$P$124:$P$126</definedName>
    <definedName name="OSRRefP22_18x_0" localSheetId="50">'301'!$P$81:$P$86</definedName>
    <definedName name="OSRRefP22_18x_0" localSheetId="69">'310 &amp; 491'!$P$100</definedName>
    <definedName name="OSRRefP22_18x_0" localSheetId="56">'331'!$P$104:$P$108</definedName>
    <definedName name="OSRRefP22_18x_0" localSheetId="70">'491'!$P$97</definedName>
    <definedName name="OSRRefP22_18x_0" localSheetId="82">'492'!$P$94:$P$95</definedName>
    <definedName name="OSRRefP22_18x_0" localSheetId="39">'Div 2'!$P$90</definedName>
    <definedName name="OSRRefP22_18x_0" localSheetId="47">'Div 3'!$P$119:$P$122</definedName>
    <definedName name="OSRRefP22_18x_0" localSheetId="68">'Div 4'!$P$91:$P$100</definedName>
    <definedName name="OSRRefP22_18x_0" localSheetId="2">Summary!$P$124:$P$127</definedName>
    <definedName name="OSRRefP22_19x_0" localSheetId="48">'300'!$P$122:$P$123</definedName>
    <definedName name="OSRRefP22_19x_0" localSheetId="49">'300 &amp; 317'!$P$128:$P$129</definedName>
    <definedName name="OSRRefP22_19x_0" localSheetId="50">'301'!$P$88</definedName>
    <definedName name="OSRRefP22_19x_0" localSheetId="69">'310 &amp; 491'!$P$102</definedName>
    <definedName name="OSRRefP22_19x_0" localSheetId="56">'331'!$P$110</definedName>
    <definedName name="OSRRefP22_19x_0" localSheetId="70">'491'!$P$99</definedName>
    <definedName name="OSRRefP22_19x_0" localSheetId="39">'Div 2'!$P$92:$P$93</definedName>
    <definedName name="OSRRefP22_19x_0" localSheetId="47">'Div 3'!$P$124:$P$127</definedName>
    <definedName name="OSRRefP22_19x_0" localSheetId="68">'Div 4'!$P$102:$P$103</definedName>
    <definedName name="OSRRefP22_19x_0" localSheetId="2">Summary!$P$129:$P$132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'300'!$P$65:$P$74</definedName>
    <definedName name="OSRRefP22_1x_0" localSheetId="49">'300 &amp; 317'!$P$71:$P$80</definedName>
    <definedName name="OSRRefP22_1x_0" localSheetId="50">'301'!$P$32:$P$41</definedName>
    <definedName name="OSRRefP22_1x_0" localSheetId="52">'307'!$P$43:$P$52</definedName>
    <definedName name="OSRRefP22_1x_0" localSheetId="53">'308'!$P$46:$P$55</definedName>
    <definedName name="OSRRefP22_1x_0" localSheetId="63">'309'!$P$22</definedName>
    <definedName name="OSRRefP22_1x_0" localSheetId="62">'310'!$P$37:$P$46</definedName>
    <definedName name="OSRRefP22_1x_0" localSheetId="69">'310 &amp; 491'!$P$39:$P$48</definedName>
    <definedName name="OSRRefP22_1x_0" localSheetId="54">'311'!$P$46:$P$55</definedName>
    <definedName name="OSRRefP22_1x_0" localSheetId="57">'315'!$P$54:$P$63</definedName>
    <definedName name="OSRRefP22_1x_0" localSheetId="59">'316'!$P$37:$P$46</definedName>
    <definedName name="OSRRefP22_1x_0" localSheetId="61">'317'!$P$46:$P$55</definedName>
    <definedName name="OSRRefP22_1x_0" localSheetId="64">'321'!$P$34:$P$43</definedName>
    <definedName name="OSRRefP22_1x_0" localSheetId="65">'325'!$P$35:$P$44</definedName>
    <definedName name="OSRRefP22_1x_0" localSheetId="66">'326'!$P$38:$P$47</definedName>
    <definedName name="OSRRefP22_1x_0" localSheetId="51">'330'!$P$43:$P$52</definedName>
    <definedName name="OSRRefP22_1x_0" localSheetId="56">'331'!$P$54:$P$63</definedName>
    <definedName name="OSRRefP22_1x_0" localSheetId="58">'332'!$P$37:$P$46</definedName>
    <definedName name="OSRRefP22_1x_0" localSheetId="71">'405'!$P$37:$P$46</definedName>
    <definedName name="OSRRefP22_1x_0" localSheetId="72">'406'!$P$22</definedName>
    <definedName name="OSRRefP22_1x_0" localSheetId="73">'411'!$P$30:$P$39</definedName>
    <definedName name="OSRRefP22_1x_0" localSheetId="74">'412'!$P$22</definedName>
    <definedName name="OSRRefP22_1x_0" localSheetId="75">'413'!$P$22</definedName>
    <definedName name="OSRRefP22_1x_0" localSheetId="76">'414'!$P$22</definedName>
    <definedName name="OSRRefP22_1x_0" localSheetId="77">'415'!$P$37:$P$46</definedName>
    <definedName name="OSRRefP22_1x_0" localSheetId="78">'418'!$P$34:$P$43</definedName>
    <definedName name="OSRRefP22_1x_0" localSheetId="79">'423'!$P$29:$P$38</definedName>
    <definedName name="OSRRefP22_1x_0" localSheetId="80">'424'!$P$22</definedName>
    <definedName name="OSRRefP22_1x_0" localSheetId="81">'425'!$P$24</definedName>
    <definedName name="OSRRefP22_1x_0" localSheetId="83">'430'!$P$30:$P$39</definedName>
    <definedName name="OSRRefP22_1x_0" localSheetId="84">'433'!$P$38:$P$47</definedName>
    <definedName name="OSRRefP22_1x_0" localSheetId="85">'444'!$P$38:$P$47</definedName>
    <definedName name="OSRRefP22_1x_0" localSheetId="86">'450'!$P$38:$P$47</definedName>
    <definedName name="OSRRefP22_1x_0" localSheetId="70">'491'!$P$38:$P$47</definedName>
    <definedName name="OSRRefP22_1x_0" localSheetId="82">'492'!$P$38:$P$47</definedName>
    <definedName name="OSRRefP22_1x_0" localSheetId="88">'501'!$P$32:$P$41</definedName>
    <definedName name="OSRRefP22_1x_0" localSheetId="39">'Div 2'!$P$32:$P$41</definedName>
    <definedName name="OSRRefP22_1x_0" localSheetId="47">'Div 3'!$P$69:$P$78</definedName>
    <definedName name="OSRRefP22_1x_0" localSheetId="68">'Div 4'!$P$40:$P$49</definedName>
    <definedName name="OSRRefP22_1x_0" localSheetId="87">'Div 5'!$P$32:$P$41</definedName>
    <definedName name="OSRRefP22_1x_0" localSheetId="60">'Div 6'!$P$46:$P$55</definedName>
    <definedName name="OSRRefP22_1x_0" localSheetId="2">Summary!$P$77:$P$86</definedName>
    <definedName name="OSRRefP22_20x_0" localSheetId="48">'300'!$P$125:$P$131</definedName>
    <definedName name="OSRRefP22_20x_0" localSheetId="49">'300 &amp; 317'!$P$131:$P$137</definedName>
    <definedName name="OSRRefP22_20x_0" localSheetId="50">'301'!$P$90</definedName>
    <definedName name="OSRRefP22_20x_0" localSheetId="69">'310 &amp; 491'!$P$104</definedName>
    <definedName name="OSRRefP22_20x_0" localSheetId="56">'331'!$P$112:$P$113</definedName>
    <definedName name="OSRRefP22_20x_0" localSheetId="70">'491'!$P$101</definedName>
    <definedName name="OSRRefP22_20x_0" localSheetId="47">'Div 3'!$P$129:$P$130</definedName>
    <definedName name="OSRRefP22_20x_0" localSheetId="68">'Div 4'!$P$105</definedName>
    <definedName name="OSRRefP22_20x_0" localSheetId="2">Summary!$P$134:$P$138</definedName>
    <definedName name="OSRRefP22_21x_0" localSheetId="48">'300'!$P$133:$P$134</definedName>
    <definedName name="OSRRefP22_21x_0" localSheetId="49">'300 &amp; 317'!$P$139:$P$140</definedName>
    <definedName name="OSRRefP22_21x_0" localSheetId="50">'301'!$P$92:$P$93</definedName>
    <definedName name="OSRRefP22_21x_0" localSheetId="56">'331'!$P$115</definedName>
    <definedName name="OSRRefP22_21x_0" localSheetId="47">'Div 3'!$P$132:$P$138</definedName>
    <definedName name="OSRRefP22_21x_0" localSheetId="68">'Div 4'!$P$107:$P$108</definedName>
    <definedName name="OSRRefP22_21x_0" localSheetId="2">Summary!$P$140:$P$141</definedName>
    <definedName name="OSRRefP22_22x_0" localSheetId="48">'300'!$P$136</definedName>
    <definedName name="OSRRefP22_22x_0" localSheetId="49">'300 &amp; 317'!$P$142</definedName>
    <definedName name="OSRRefP22_22x_0" localSheetId="50">'301'!$P$95</definedName>
    <definedName name="OSRRefP22_22x_0" localSheetId="47">'Div 3'!$P$140:$P$141</definedName>
    <definedName name="OSRRefP22_22x_0" localSheetId="68">'Div 4'!$P$110</definedName>
    <definedName name="OSRRefP22_22x_0" localSheetId="2">Summary!$P$143:$P$152</definedName>
    <definedName name="OSRRefP22_23x_0" localSheetId="48">'300'!$P$138:$P$140</definedName>
    <definedName name="OSRRefP22_23x_0" localSheetId="49">'300 &amp; 317'!$P$144:$P$146</definedName>
    <definedName name="OSRRefP22_23x_0" localSheetId="47">'Div 3'!$P$143</definedName>
    <definedName name="OSRRefP22_23x_0" localSheetId="2">Summary!$P$154:$P$155</definedName>
    <definedName name="OSRRefP22_24x_0" localSheetId="48">'300'!$P$142</definedName>
    <definedName name="OSRRefP22_24x_0" localSheetId="49">'300 &amp; 317'!$P$148</definedName>
    <definedName name="OSRRefP22_24x_0" localSheetId="47">'Div 3'!$P$145:$P$147</definedName>
    <definedName name="OSRRefP22_24x_0" localSheetId="2">Summary!$P$157</definedName>
    <definedName name="OSRRefP22_25x_0" localSheetId="47">'Div 3'!$P$149</definedName>
    <definedName name="OSRRefP22_25x_0" localSheetId="2">Summary!$P$159:$P$161</definedName>
    <definedName name="OSRRefP22_26x_0" localSheetId="2">Summary!$P$163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'300'!$P$76</definedName>
    <definedName name="OSRRefP22_2x_0" localSheetId="49">'300 &amp; 317'!$P$82</definedName>
    <definedName name="OSRRefP22_2x_0" localSheetId="50">'301'!$P$43</definedName>
    <definedName name="OSRRefP22_2x_0" localSheetId="52">'307'!$P$54</definedName>
    <definedName name="OSRRefP22_2x_0" localSheetId="53">'308'!$P$57</definedName>
    <definedName name="OSRRefP22_2x_0" localSheetId="63">'309'!$P$24</definedName>
    <definedName name="OSRRefP22_2x_0" localSheetId="62">'310'!$P$48</definedName>
    <definedName name="OSRRefP22_2x_0" localSheetId="69">'310 &amp; 491'!$P$50</definedName>
    <definedName name="OSRRefP22_2x_0" localSheetId="54">'311'!$P$57</definedName>
    <definedName name="OSRRefP22_2x_0" localSheetId="57">'315'!$P$65</definedName>
    <definedName name="OSRRefP22_2x_0" localSheetId="59">'316'!$P$48</definedName>
    <definedName name="OSRRefP22_2x_0" localSheetId="61">'317'!$P$57</definedName>
    <definedName name="OSRRefP22_2x_0" localSheetId="64">'321'!$P$45</definedName>
    <definedName name="OSRRefP22_2x_0" localSheetId="65">'325'!$P$46</definedName>
    <definedName name="OSRRefP22_2x_0" localSheetId="66">'326'!$P$49</definedName>
    <definedName name="OSRRefP22_2x_0" localSheetId="51">'330'!$P$54</definedName>
    <definedName name="OSRRefP22_2x_0" localSheetId="56">'331'!$P$65</definedName>
    <definedName name="OSRRefP22_2x_0" localSheetId="58">'332'!$P$48</definedName>
    <definedName name="OSRRefP22_2x_0" localSheetId="71">'405'!$P$48</definedName>
    <definedName name="OSRRefP22_2x_0" localSheetId="73">'411'!$P$41</definedName>
    <definedName name="OSRRefP22_2x_0" localSheetId="74">'412'!$P$24</definedName>
    <definedName name="OSRRefP22_2x_0" localSheetId="75">'413'!$P$24</definedName>
    <definedName name="OSRRefP22_2x_0" localSheetId="76">'414'!$P$24</definedName>
    <definedName name="OSRRefP22_2x_0" localSheetId="77">'415'!$P$48</definedName>
    <definedName name="OSRRefP22_2x_0" localSheetId="78">'418'!$P$45</definedName>
    <definedName name="OSRRefP22_2x_0" localSheetId="79">'423'!$P$40</definedName>
    <definedName name="OSRRefP22_2x_0" localSheetId="80">'424'!$P$24</definedName>
    <definedName name="OSRRefP22_2x_0" localSheetId="81">'425'!$P$26</definedName>
    <definedName name="OSRRefP22_2x_0" localSheetId="83">'430'!$P$41</definedName>
    <definedName name="OSRRefP22_2x_0" localSheetId="84">'433'!$P$49</definedName>
    <definedName name="OSRRefP22_2x_0" localSheetId="85">'444'!$P$49</definedName>
    <definedName name="OSRRefP22_2x_0" localSheetId="86">'450'!$P$49</definedName>
    <definedName name="OSRRefP22_2x_0" localSheetId="70">'491'!$P$49</definedName>
    <definedName name="OSRRefP22_2x_0" localSheetId="82">'492'!$P$49</definedName>
    <definedName name="OSRRefP22_2x_0" localSheetId="88">'501'!$P$43</definedName>
    <definedName name="OSRRefP22_2x_0" localSheetId="39">'Div 2'!$P$43</definedName>
    <definedName name="OSRRefP22_2x_0" localSheetId="47">'Div 3'!$P$80</definedName>
    <definedName name="OSRRefP22_2x_0" localSheetId="68">'Div 4'!$P$51</definedName>
    <definedName name="OSRRefP22_2x_0" localSheetId="87">'Div 5'!$P$43</definedName>
    <definedName name="OSRRefP22_2x_0" localSheetId="60">'Div 6'!$P$57</definedName>
    <definedName name="OSRRefP22_2x_0" localSheetId="2">Summary!$P$88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'300'!$P$78</definedName>
    <definedName name="OSRRefP22_3x_0" localSheetId="49">'300 &amp; 317'!$P$84</definedName>
    <definedName name="OSRRefP22_3x_0" localSheetId="50">'301'!$P$45</definedName>
    <definedName name="OSRRefP22_3x_0" localSheetId="52">'307'!$P$56</definedName>
    <definedName name="OSRRefP22_3x_0" localSheetId="53">'308'!$P$59</definedName>
    <definedName name="OSRRefP22_3x_0" localSheetId="63">'309'!$P$26</definedName>
    <definedName name="OSRRefP22_3x_0" localSheetId="62">'310'!$P$50</definedName>
    <definedName name="OSRRefP22_3x_0" localSheetId="69">'310 &amp; 491'!$P$52</definedName>
    <definedName name="OSRRefP22_3x_0" localSheetId="54">'311'!$P$59</definedName>
    <definedName name="OSRRefP22_3x_0" localSheetId="57">'315'!$P$67</definedName>
    <definedName name="OSRRefP22_3x_0" localSheetId="59">'316'!$P$50</definedName>
    <definedName name="OSRRefP22_3x_0" localSheetId="61">'317'!$P$59</definedName>
    <definedName name="OSRRefP22_3x_0" localSheetId="64">'321'!$P$47</definedName>
    <definedName name="OSRRefP22_3x_0" localSheetId="65">'325'!$P$48</definedName>
    <definedName name="OSRRefP22_3x_0" localSheetId="66">'326'!$P$51</definedName>
    <definedName name="OSRRefP22_3x_0" localSheetId="51">'330'!$P$56</definedName>
    <definedName name="OSRRefP22_3x_0" localSheetId="56">'331'!$P$67</definedName>
    <definedName name="OSRRefP22_3x_0" localSheetId="58">'332'!$P$50</definedName>
    <definedName name="OSRRefP22_3x_0" localSheetId="71">'405'!$P$50</definedName>
    <definedName name="OSRRefP22_3x_0" localSheetId="73">'411'!$P$43:$P$44</definedName>
    <definedName name="OSRRefP22_3x_0" localSheetId="74">'412'!$P$26</definedName>
    <definedName name="OSRRefP22_3x_0" localSheetId="77">'415'!$P$50</definedName>
    <definedName name="OSRRefP22_3x_0" localSheetId="78">'418'!$P$47</definedName>
    <definedName name="OSRRefP22_3x_0" localSheetId="79">'423'!$P$42</definedName>
    <definedName name="OSRRefP22_3x_0" localSheetId="81">'425'!$P$28</definedName>
    <definedName name="OSRRefP22_3x_0" localSheetId="83">'430'!$P$43</definedName>
    <definedName name="OSRRefP22_3x_0" localSheetId="84">'433'!$P$51</definedName>
    <definedName name="OSRRefP22_3x_0" localSheetId="85">'444'!$P$51</definedName>
    <definedName name="OSRRefP22_3x_0" localSheetId="86">'450'!$P$51</definedName>
    <definedName name="OSRRefP22_3x_0" localSheetId="70">'491'!$P$51</definedName>
    <definedName name="OSRRefP22_3x_0" localSheetId="82">'492'!$P$51</definedName>
    <definedName name="OSRRefP22_3x_0" localSheetId="88">'501'!$P$45</definedName>
    <definedName name="OSRRefP22_3x_0" localSheetId="39">'Div 2'!$P$45</definedName>
    <definedName name="OSRRefP22_3x_0" localSheetId="47">'Div 3'!$P$82</definedName>
    <definedName name="OSRRefP22_3x_0" localSheetId="68">'Div 4'!$P$53</definedName>
    <definedName name="OSRRefP22_3x_0" localSheetId="87">'Div 5'!$P$45</definedName>
    <definedName name="OSRRefP22_3x_0" localSheetId="60">'Div 6'!$P$59</definedName>
    <definedName name="OSRRefP22_3x_0" localSheetId="2">Summary!$P$90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'205'!$P$45:$P$46</definedName>
    <definedName name="OSRRefP22_4x_0" localSheetId="46">'206'!$P$45:$P$46</definedName>
    <definedName name="OSRRefP22_4x_0" localSheetId="48">'300'!$P$80</definedName>
    <definedName name="OSRRefP22_4x_0" localSheetId="49">'300 &amp; 317'!$P$86</definedName>
    <definedName name="OSRRefP22_4x_0" localSheetId="50">'301'!$P$47</definedName>
    <definedName name="OSRRefP22_4x_0" localSheetId="52">'307'!$P$58</definedName>
    <definedName name="OSRRefP22_4x_0" localSheetId="53">'308'!$P$61</definedName>
    <definedName name="OSRRefP22_4x_0" localSheetId="63">'309'!$P$28:$P$29</definedName>
    <definedName name="OSRRefP22_4x_0" localSheetId="62">'310'!$P$52</definedName>
    <definedName name="OSRRefP22_4x_0" localSheetId="69">'310 &amp; 491'!$P$54</definedName>
    <definedName name="OSRRefP22_4x_0" localSheetId="54">'311'!$P$61</definedName>
    <definedName name="OSRRefP22_4x_0" localSheetId="57">'315'!$P$69</definedName>
    <definedName name="OSRRefP22_4x_0" localSheetId="59">'316'!$P$52</definedName>
    <definedName name="OSRRefP22_4x_0" localSheetId="61">'317'!$P$61</definedName>
    <definedName name="OSRRefP22_4x_0" localSheetId="64">'321'!$P$49</definedName>
    <definedName name="OSRRefP22_4x_0" localSheetId="65">'325'!$P$50</definedName>
    <definedName name="OSRRefP22_4x_0" localSheetId="66">'326'!$P$53</definedName>
    <definedName name="OSRRefP22_4x_0" localSheetId="51">'330'!$P$58</definedName>
    <definedName name="OSRRefP22_4x_0" localSheetId="56">'331'!$P$69</definedName>
    <definedName name="OSRRefP22_4x_0" localSheetId="58">'332'!$P$52</definedName>
    <definedName name="OSRRefP22_4x_0" localSheetId="71">'405'!$P$52</definedName>
    <definedName name="OSRRefP22_4x_0" localSheetId="73">'411'!$P$46</definedName>
    <definedName name="OSRRefP22_4x_0" localSheetId="77">'415'!$P$52</definedName>
    <definedName name="OSRRefP22_4x_0" localSheetId="78">'418'!$P$49:$P$50</definedName>
    <definedName name="OSRRefP22_4x_0" localSheetId="79">'423'!$P$44</definedName>
    <definedName name="OSRRefP22_4x_0" localSheetId="81">'425'!$P$30</definedName>
    <definedName name="OSRRefP22_4x_0" localSheetId="83">'430'!$P$45</definedName>
    <definedName name="OSRRefP22_4x_0" localSheetId="84">'433'!$P$53</definedName>
    <definedName name="OSRRefP22_4x_0" localSheetId="85">'444'!$P$53</definedName>
    <definedName name="OSRRefP22_4x_0" localSheetId="86">'450'!$P$53</definedName>
    <definedName name="OSRRefP22_4x_0" localSheetId="70">'491'!$P$53</definedName>
    <definedName name="OSRRefP22_4x_0" localSheetId="82">'492'!$P$53</definedName>
    <definedName name="OSRRefP22_4x_0" localSheetId="88">'501'!$P$47</definedName>
    <definedName name="OSRRefP22_4x_0" localSheetId="39">'Div 2'!$P$47</definedName>
    <definedName name="OSRRefP22_4x_0" localSheetId="47">'Div 3'!$P$84</definedName>
    <definedName name="OSRRefP22_4x_0" localSheetId="68">'Div 4'!$P$55</definedName>
    <definedName name="OSRRefP22_4x_0" localSheetId="87">'Div 5'!$P$47</definedName>
    <definedName name="OSRRefP22_4x_0" localSheetId="60">'Div 6'!$P$61</definedName>
    <definedName name="OSRRefP22_4x_0" localSheetId="2">Summary!$P$92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'204'!$P$48:$P$51</definedName>
    <definedName name="OSRRefP22_5x_0" localSheetId="45">'205'!$P$48</definedName>
    <definedName name="OSRRefP22_5x_0" localSheetId="46">'206'!$P$48</definedName>
    <definedName name="OSRRefP22_5x_0" localSheetId="48">'300'!$P$82:$P$83</definedName>
    <definedName name="OSRRefP22_5x_0" localSheetId="49">'300 &amp; 317'!$P$88:$P$89</definedName>
    <definedName name="OSRRefP22_5x_0" localSheetId="50">'301'!$P$49:$P$50</definedName>
    <definedName name="OSRRefP22_5x_0" localSheetId="52">'307'!$P$60:$P$61</definedName>
    <definedName name="OSRRefP22_5x_0" localSheetId="53">'308'!$P$63</definedName>
    <definedName name="OSRRefP22_5x_0" localSheetId="63">'309'!$P$31</definedName>
    <definedName name="OSRRefP22_5x_0" localSheetId="62">'310'!$P$54:$P$55</definedName>
    <definedName name="OSRRefP22_5x_0" localSheetId="69">'310 &amp; 491'!$P$56:$P$57</definedName>
    <definedName name="OSRRefP22_5x_0" localSheetId="54">'311'!$P$63</definedName>
    <definedName name="OSRRefP22_5x_0" localSheetId="57">'315'!$P$71</definedName>
    <definedName name="OSRRefP22_5x_0" localSheetId="59">'316'!$P$54:$P$55</definedName>
    <definedName name="OSRRefP22_5x_0" localSheetId="61">'317'!$P$63</definedName>
    <definedName name="OSRRefP22_5x_0" localSheetId="64">'321'!$P$51</definedName>
    <definedName name="OSRRefP22_5x_0" localSheetId="65">'325'!$P$52:$P$53</definedName>
    <definedName name="OSRRefP22_5x_0" localSheetId="66">'326'!$P$55</definedName>
    <definedName name="OSRRefP22_5x_0" localSheetId="51">'330'!$P$60:$P$61</definedName>
    <definedName name="OSRRefP22_5x_0" localSheetId="56">'331'!$P$71</definedName>
    <definedName name="OSRRefP22_5x_0" localSheetId="58">'332'!$P$54:$P$55</definedName>
    <definedName name="OSRRefP22_5x_0" localSheetId="71">'405'!$P$54:$P$55</definedName>
    <definedName name="OSRRefP22_5x_0" localSheetId="73">'411'!$P$48</definedName>
    <definedName name="OSRRefP22_5x_0" localSheetId="77">'415'!$P$54:$P$55</definedName>
    <definedName name="OSRRefP22_5x_0" localSheetId="78">'418'!$P$52</definedName>
    <definedName name="OSRRefP22_5x_0" localSheetId="79">'423'!$P$46</definedName>
    <definedName name="OSRRefP22_5x_0" localSheetId="81">'425'!$P$32</definedName>
    <definedName name="OSRRefP22_5x_0" localSheetId="83">'430'!$P$47:$P$48</definedName>
    <definedName name="OSRRefP22_5x_0" localSheetId="84">'433'!$P$55</definedName>
    <definedName name="OSRRefP22_5x_0" localSheetId="85">'444'!$P$55</definedName>
    <definedName name="OSRRefP22_5x_0" localSheetId="86">'450'!$P$55</definedName>
    <definedName name="OSRRefP22_5x_0" localSheetId="70">'491'!$P$55:$P$56</definedName>
    <definedName name="OSRRefP22_5x_0" localSheetId="82">'492'!$P$55</definedName>
    <definedName name="OSRRefP22_5x_0" localSheetId="88">'501'!$P$49:$P$50</definedName>
    <definedName name="OSRRefP22_5x_0" localSheetId="39">'Div 2'!$P$49:$P$50</definedName>
    <definedName name="OSRRefP22_5x_0" localSheetId="47">'Div 3'!$P$86:$P$87</definedName>
    <definedName name="OSRRefP22_5x_0" localSheetId="68">'Div 4'!$P$57:$P$58</definedName>
    <definedName name="OSRRefP22_5x_0" localSheetId="87">'Div 5'!$P$49:$P$50</definedName>
    <definedName name="OSRRefP22_5x_0" localSheetId="60">'Div 6'!$P$63</definedName>
    <definedName name="OSRRefP22_5x_0" localSheetId="2">Summary!$P$94:$P$95</definedName>
    <definedName name="OSRRefP22_6x_0" localSheetId="41">'201'!$P$49</definedName>
    <definedName name="OSRRefP22_6x_0" localSheetId="42">'202'!$P$49</definedName>
    <definedName name="OSRRefP22_6x_0" localSheetId="43">'203'!$P$50</definedName>
    <definedName name="OSRRefP22_6x_0" localSheetId="44">'204'!$P$53</definedName>
    <definedName name="OSRRefP22_6x_0" localSheetId="45">'205'!$P$50:$P$52</definedName>
    <definedName name="OSRRefP22_6x_0" localSheetId="46">'206'!$P$50:$P$51</definedName>
    <definedName name="OSRRefP22_6x_0" localSheetId="48">'300'!$P$85:$P$86</definedName>
    <definedName name="OSRRefP22_6x_0" localSheetId="49">'300 &amp; 317'!$P$91:$P$92</definedName>
    <definedName name="OSRRefP22_6x_0" localSheetId="50">'301'!$P$52:$P$53</definedName>
    <definedName name="OSRRefP22_6x_0" localSheetId="52">'307'!$P$63</definedName>
    <definedName name="OSRRefP22_6x_0" localSheetId="53">'308'!$P$65</definedName>
    <definedName name="OSRRefP22_6x_0" localSheetId="63">'309'!$P$33</definedName>
    <definedName name="OSRRefP22_6x_0" localSheetId="62">'310'!$P$57</definedName>
    <definedName name="OSRRefP22_6x_0" localSheetId="69">'310 &amp; 491'!$P$59</definedName>
    <definedName name="OSRRefP22_6x_0" localSheetId="54">'311'!$P$65</definedName>
    <definedName name="OSRRefP22_6x_0" localSheetId="57">'315'!$P$73</definedName>
    <definedName name="OSRRefP22_6x_0" localSheetId="59">'316'!$P$57</definedName>
    <definedName name="OSRRefP22_6x_0" localSheetId="61">'317'!$P$65</definedName>
    <definedName name="OSRRefP22_6x_0" localSheetId="64">'321'!$P$53:$P$54</definedName>
    <definedName name="OSRRefP22_6x_0" localSheetId="65">'325'!$P$55</definedName>
    <definedName name="OSRRefP22_6x_0" localSheetId="66">'326'!$P$57:$P$58</definedName>
    <definedName name="OSRRefP22_6x_0" localSheetId="51">'330'!$P$63</definedName>
    <definedName name="OSRRefP22_6x_0" localSheetId="56">'331'!$P$73</definedName>
    <definedName name="OSRRefP22_6x_0" localSheetId="58">'332'!$P$57</definedName>
    <definedName name="OSRRefP22_6x_0" localSheetId="71">'405'!$P$57</definedName>
    <definedName name="OSRRefP22_6x_0" localSheetId="73">'411'!$P$50</definedName>
    <definedName name="OSRRefP22_6x_0" localSheetId="77">'415'!$P$57</definedName>
    <definedName name="OSRRefP22_6x_0" localSheetId="78">'418'!$P$54</definedName>
    <definedName name="OSRRefP22_6x_0" localSheetId="83">'430'!$P$50:$P$51</definedName>
    <definedName name="OSRRefP22_6x_0" localSheetId="84">'433'!$P$57</definedName>
    <definedName name="OSRRefP22_6x_0" localSheetId="85">'444'!$P$57</definedName>
    <definedName name="OSRRefP22_6x_0" localSheetId="86">'450'!$P$57</definedName>
    <definedName name="OSRRefP22_6x_0" localSheetId="70">'491'!$P$58</definedName>
    <definedName name="OSRRefP22_6x_0" localSheetId="82">'492'!$P$57</definedName>
    <definedName name="OSRRefP22_6x_0" localSheetId="88">'501'!$P$52</definedName>
    <definedName name="OSRRefP22_6x_0" localSheetId="39">'Div 2'!$P$52</definedName>
    <definedName name="OSRRefP22_6x_0" localSheetId="47">'Div 3'!$P$89:$P$90</definedName>
    <definedName name="OSRRefP22_6x_0" localSheetId="68">'Div 4'!$P$60</definedName>
    <definedName name="OSRRefP22_6x_0" localSheetId="87">'Div 5'!$P$52</definedName>
    <definedName name="OSRRefP22_6x_0" localSheetId="60">'Div 6'!$P$65</definedName>
    <definedName name="OSRRefP22_6x_0" localSheetId="2">Summary!$P$97:$P$98</definedName>
    <definedName name="OSRRefP22_7x_0" localSheetId="41">'201'!$P$51</definedName>
    <definedName name="OSRRefP22_7x_0" localSheetId="42">'202'!$P$51:$P$53</definedName>
    <definedName name="OSRRefP22_7x_0" localSheetId="43">'203'!$P$52</definedName>
    <definedName name="OSRRefP22_7x_0" localSheetId="44">'204'!$P$55</definedName>
    <definedName name="OSRRefP22_7x_0" localSheetId="45">'205'!$P$54</definedName>
    <definedName name="OSRRefP22_7x_0" localSheetId="46">'206'!$P$53</definedName>
    <definedName name="OSRRefP22_7x_0" localSheetId="48">'300'!$P$88</definedName>
    <definedName name="OSRRefP22_7x_0" localSheetId="49">'300 &amp; 317'!$P$94</definedName>
    <definedName name="OSRRefP22_7x_0" localSheetId="50">'301'!$P$55</definedName>
    <definedName name="OSRRefP22_7x_0" localSheetId="52">'307'!$P$65</definedName>
    <definedName name="OSRRefP22_7x_0" localSheetId="53">'308'!$P$67</definedName>
    <definedName name="OSRRefP22_7x_0" localSheetId="62">'310'!$P$59</definedName>
    <definedName name="OSRRefP22_7x_0" localSheetId="69">'310 &amp; 491'!$P$61</definedName>
    <definedName name="OSRRefP22_7x_0" localSheetId="54">'311'!$P$67</definedName>
    <definedName name="OSRRefP22_7x_0" localSheetId="57">'315'!$P$75</definedName>
    <definedName name="OSRRefP22_7x_0" localSheetId="59">'316'!$P$59:$P$61</definedName>
    <definedName name="OSRRefP22_7x_0" localSheetId="61">'317'!$P$67</definedName>
    <definedName name="OSRRefP22_7x_0" localSheetId="64">'321'!$P$56</definedName>
    <definedName name="OSRRefP22_7x_0" localSheetId="65">'325'!$P$57</definedName>
    <definedName name="OSRRefP22_7x_0" localSheetId="66">'326'!$P$60</definedName>
    <definedName name="OSRRefP22_7x_0" localSheetId="51">'330'!$P$65</definedName>
    <definedName name="OSRRefP22_7x_0" localSheetId="56">'331'!$P$75</definedName>
    <definedName name="OSRRefP22_7x_0" localSheetId="58">'332'!$P$59:$P$61</definedName>
    <definedName name="OSRRefP22_7x_0" localSheetId="71">'405'!$P$59</definedName>
    <definedName name="OSRRefP22_7x_0" localSheetId="73">'411'!$P$52</definedName>
    <definedName name="OSRRefP22_7x_0" localSheetId="77">'415'!$P$59</definedName>
    <definedName name="OSRRefP22_7x_0" localSheetId="78">'418'!$P$56</definedName>
    <definedName name="OSRRefP22_7x_0" localSheetId="83">'430'!$P$53</definedName>
    <definedName name="OSRRefP22_7x_0" localSheetId="84">'433'!$P$59</definedName>
    <definedName name="OSRRefP22_7x_0" localSheetId="85">'444'!$P$59</definedName>
    <definedName name="OSRRefP22_7x_0" localSheetId="86">'450'!$P$59</definedName>
    <definedName name="OSRRefP22_7x_0" localSheetId="70">'491'!$P$60</definedName>
    <definedName name="OSRRefP22_7x_0" localSheetId="82">'492'!$P$59</definedName>
    <definedName name="OSRRefP22_7x_0" localSheetId="88">'501'!$P$54</definedName>
    <definedName name="OSRRefP22_7x_0" localSheetId="39">'Div 2'!$P$54</definedName>
    <definedName name="OSRRefP22_7x_0" localSheetId="47">'Div 3'!$P$92</definedName>
    <definedName name="OSRRefP22_7x_0" localSheetId="68">'Div 4'!$P$62</definedName>
    <definedName name="OSRRefP22_7x_0" localSheetId="87">'Div 5'!$P$54</definedName>
    <definedName name="OSRRefP22_7x_0" localSheetId="60">'Div 6'!$P$67</definedName>
    <definedName name="OSRRefP22_7x_0" localSheetId="2">Summary!$P$100</definedName>
    <definedName name="OSRRefP22_8x_0" localSheetId="41">'201'!$P$53</definedName>
    <definedName name="OSRRefP22_8x_0" localSheetId="42">'202'!$P$55</definedName>
    <definedName name="OSRRefP22_8x_0" localSheetId="43">'203'!$P$54:$P$56</definedName>
    <definedName name="OSRRefP22_8x_0" localSheetId="44">'204'!$P$57:$P$58</definedName>
    <definedName name="OSRRefP22_8x_0" localSheetId="48">'300'!$P$90</definedName>
    <definedName name="OSRRefP22_8x_0" localSheetId="49">'300 &amp; 317'!$P$96</definedName>
    <definedName name="OSRRefP22_8x_0" localSheetId="50">'301'!$P$57</definedName>
    <definedName name="OSRRefP22_8x_0" localSheetId="52">'307'!$P$67</definedName>
    <definedName name="OSRRefP22_8x_0" localSheetId="53">'308'!$P$69:$P$71</definedName>
    <definedName name="OSRRefP22_8x_0" localSheetId="62">'310'!$P$61</definedName>
    <definedName name="OSRRefP22_8x_0" localSheetId="69">'310 &amp; 491'!$P$63</definedName>
    <definedName name="OSRRefP22_8x_0" localSheetId="54">'311'!$P$69:$P$71</definedName>
    <definedName name="OSRRefP22_8x_0" localSheetId="57">'315'!$P$77:$P$78</definedName>
    <definedName name="OSRRefP22_8x_0" localSheetId="59">'316'!$P$63</definedName>
    <definedName name="OSRRefP22_8x_0" localSheetId="61">'317'!$P$69:$P$70</definedName>
    <definedName name="OSRRefP22_8x_0" localSheetId="64">'321'!$P$58:$P$59</definedName>
    <definedName name="OSRRefP22_8x_0" localSheetId="65">'325'!$P$59</definedName>
    <definedName name="OSRRefP22_8x_0" localSheetId="66">'326'!$P$62</definedName>
    <definedName name="OSRRefP22_8x_0" localSheetId="51">'330'!$P$67</definedName>
    <definedName name="OSRRefP22_8x_0" localSheetId="56">'331'!$P$77:$P$78</definedName>
    <definedName name="OSRRefP22_8x_0" localSheetId="58">'332'!$P$63</definedName>
    <definedName name="OSRRefP22_8x_0" localSheetId="71">'405'!$P$61</definedName>
    <definedName name="OSRRefP22_8x_0" localSheetId="73">'411'!$P$54:$P$56</definedName>
    <definedName name="OSRRefP22_8x_0" localSheetId="77">'415'!$P$61</definedName>
    <definedName name="OSRRefP22_8x_0" localSheetId="78">'418'!$P$58:$P$59</definedName>
    <definedName name="OSRRefP22_8x_0" localSheetId="83">'430'!$P$55</definedName>
    <definedName name="OSRRefP22_8x_0" localSheetId="84">'433'!$P$61</definedName>
    <definedName name="OSRRefP22_8x_0" localSheetId="85">'444'!$P$61</definedName>
    <definedName name="OSRRefP22_8x_0" localSheetId="86">'450'!$P$61</definedName>
    <definedName name="OSRRefP22_8x_0" localSheetId="70">'491'!$P$62</definedName>
    <definedName name="OSRRefP22_8x_0" localSheetId="82">'492'!$P$61</definedName>
    <definedName name="OSRRefP22_8x_0" localSheetId="88">'501'!$P$56</definedName>
    <definedName name="OSRRefP22_8x_0" localSheetId="39">'Div 2'!$P$56</definedName>
    <definedName name="OSRRefP22_8x_0" localSheetId="47">'Div 3'!$P$94</definedName>
    <definedName name="OSRRefP22_8x_0" localSheetId="68">'Div 4'!$P$64</definedName>
    <definedName name="OSRRefP22_8x_0" localSheetId="87">'Div 5'!$P$56</definedName>
    <definedName name="OSRRefP22_8x_0" localSheetId="60">'Div 6'!$P$69:$P$70</definedName>
    <definedName name="OSRRefP22_8x_0" localSheetId="2">Summary!$P$102</definedName>
    <definedName name="OSRRefP22_9x_0" localSheetId="41">'201'!$P$55:$P$57</definedName>
    <definedName name="OSRRefP22_9x_0" localSheetId="42">'202'!$P$57</definedName>
    <definedName name="OSRRefP22_9x_0" localSheetId="43">'203'!$P$58:$P$59</definedName>
    <definedName name="OSRRefP22_9x_0" localSheetId="44">'204'!$P$60</definedName>
    <definedName name="OSRRefP22_9x_0" localSheetId="48">'300'!$P$92</definedName>
    <definedName name="OSRRefP22_9x_0" localSheetId="49">'300 &amp; 317'!$P$98</definedName>
    <definedName name="OSRRefP22_9x_0" localSheetId="50">'301'!$P$59</definedName>
    <definedName name="OSRRefP22_9x_0" localSheetId="52">'307'!$P$69:$P$70</definedName>
    <definedName name="OSRRefP22_9x_0" localSheetId="53">'308'!$P$73</definedName>
    <definedName name="OSRRefP22_9x_0" localSheetId="62">'310'!$P$63</definedName>
    <definedName name="OSRRefP22_9x_0" localSheetId="69">'310 &amp; 491'!$P$65</definedName>
    <definedName name="OSRRefP22_9x_0" localSheetId="54">'311'!$P$73</definedName>
    <definedName name="OSRRefP22_9x_0" localSheetId="57">'315'!$P$80</definedName>
    <definedName name="OSRRefP22_9x_0" localSheetId="59">'316'!$P$65:$P$68</definedName>
    <definedName name="OSRRefP22_9x_0" localSheetId="61">'317'!$P$72</definedName>
    <definedName name="OSRRefP22_9x_0" localSheetId="64">'321'!$P$61:$P$64</definedName>
    <definedName name="OSRRefP22_9x_0" localSheetId="65">'325'!$P$61</definedName>
    <definedName name="OSRRefP22_9x_0" localSheetId="66">'326'!$P$64</definedName>
    <definedName name="OSRRefP22_9x_0" localSheetId="51">'330'!$P$69:$P$70</definedName>
    <definedName name="OSRRefP22_9x_0" localSheetId="56">'331'!$P$80:$P$81</definedName>
    <definedName name="OSRRefP22_9x_0" localSheetId="58">'332'!$P$65:$P$68</definedName>
    <definedName name="OSRRefP22_9x_0" localSheetId="71">'405'!$P$63:$P$64</definedName>
    <definedName name="OSRRefP22_9x_0" localSheetId="73">'411'!$P$58:$P$60</definedName>
    <definedName name="OSRRefP22_9x_0" localSheetId="77">'415'!$P$63</definedName>
    <definedName name="OSRRefP22_9x_0" localSheetId="78">'418'!$P$61:$P$64</definedName>
    <definedName name="OSRRefP22_9x_0" localSheetId="84">'433'!$P$63</definedName>
    <definedName name="OSRRefP22_9x_0" localSheetId="85">'444'!$P$63</definedName>
    <definedName name="OSRRefP22_9x_0" localSheetId="86">'450'!$P$63</definedName>
    <definedName name="OSRRefP22_9x_0" localSheetId="70">'491'!$P$64</definedName>
    <definedName name="OSRRefP22_9x_0" localSheetId="82">'492'!$P$63</definedName>
    <definedName name="OSRRefP22_9x_0" localSheetId="88">'501'!$P$58:$P$60</definedName>
    <definedName name="OSRRefP22_9x_0" localSheetId="39">'Div 2'!$P$58</definedName>
    <definedName name="OSRRefP22_9x_0" localSheetId="47">'Div 3'!$P$96</definedName>
    <definedName name="OSRRefP22_9x_0" localSheetId="68">'Div 4'!$P$66</definedName>
    <definedName name="OSRRefP22_9x_0" localSheetId="87">'Div 5'!$P$58:$P$60</definedName>
    <definedName name="OSRRefP22_9x_0" localSheetId="60">'Div 6'!$P$72</definedName>
    <definedName name="OSRRefP22_9x_0" localSheetId="2">Summary!$P$104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'201'!$P$20:$P$28,'201'!$P$30:$P$39,'201'!$P$41,'201'!$P$43,'201'!$P$45,'201'!$P$47,'201'!$P$49,'201'!$P$51,'201'!$P$53,'201'!$P$55:$P$57,'201'!$P$59:$P$60,'201'!$P$62,'201'!$P$64:$P$65,'201'!$P$67,'201'!$P$69,'201'!$P$71</definedName>
    <definedName name="OSRRefP22x_0" localSheetId="42">'202'!$P$20:$P$28,'202'!$P$30:$P$39,'202'!$P$41,'202'!$P$43,'202'!$P$45,'202'!$P$47,'202'!$P$49,'202'!$P$51:$P$53,'202'!$P$55,'202'!$P$57,'202'!$P$59,'202'!$P$61,'202'!$P$63</definedName>
    <definedName name="OSRRefP22x_0" localSheetId="43">'203'!$P$20:$P$29,'203'!$P$31:$P$40,'203'!$P$42,'203'!$P$44,'203'!$P$46,'203'!$P$48,'203'!$P$50,'203'!$P$52,'203'!$P$54:$P$56,'203'!$P$58:$P$59,'203'!$P$61,'203'!$P$63:$P$66,'203'!$P$68,'203'!$P$70,'203'!$P$72</definedName>
    <definedName name="OSRRefP22x_0" localSheetId="44">'204'!$P$20:$P$28,'204'!$P$30:$P$39,'204'!$P$41,'204'!$P$43:$P$44,'204'!$P$46,'204'!$P$48:$P$51,'204'!$P$53,'204'!$P$55,'204'!$P$57:$P$58,'204'!$P$60,'204'!$P$62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'206'!$P$20:$P$28,'206'!$P$30:$P$39,'206'!$P$41,'206'!$P$43,'206'!$P$45:$P$46,'206'!$P$48,'206'!$P$50:$P$51,'206'!$P$53</definedName>
    <definedName name="OSRRefP22x_0" localSheetId="48">'300'!$P$54:$P$63,'300'!$P$65:$P$74,'300'!$P$76,'300'!$P$78,'300'!$P$80,'300'!$P$82:$P$83,'300'!$P$85:$P$86,'300'!$P$88,'300'!$P$90,'300'!$P$92,'300'!$P$94:$P$95,'300'!$P$97:$P$98,'300'!$P$100,'300'!$P$102,'300'!$P$104,'300'!$P$106,'300'!$P$108:$P$111,'300'!$P$113:$P$116,'300'!$P$118:$P$120,'300'!$P$122:$P$123,'300'!$P$125:$P$131,'300'!$P$133:$P$134,'300'!$P$136,'300'!$P$138:$P$140,'300'!$P$142</definedName>
    <definedName name="OSRRefP22x_0" localSheetId="49">'300 &amp; 317'!$P$60:$P$69,'300 &amp; 317'!$P$71:$P$80,'300 &amp; 317'!$P$82,'300 &amp; 317'!$P$84,'300 &amp; 317'!$P$86,'300 &amp; 317'!$P$88:$P$89,'300 &amp; 317'!$P$91:$P$92,'300 &amp; 317'!$P$94,'300 &amp; 317'!$P$96,'300 &amp; 317'!$P$98,'300 &amp; 317'!$P$100:$P$101,'300 &amp; 317'!$P$103:$P$104,'300 &amp; 317'!$P$106,'300 &amp; 317'!$P$108,'300 &amp; 317'!$P$110,'300 &amp; 317'!$P$112,'300 &amp; 317'!$P$114:$P$117,'300 &amp; 317'!$P$119:$P$122,'300 &amp; 317'!$P$124:$P$126,'300 &amp; 317'!$P$128:$P$129,'300 &amp; 317'!$P$131:$P$137,'300 &amp; 317'!$P$139:$P$140,'300 &amp; 317'!$P$142,'300 &amp; 317'!$P$144:$P$146,'300 &amp; 317'!$P$148</definedName>
    <definedName name="OSRRefP22x_0" localSheetId="50">'301'!$P$21:$P$30,'301'!$P$32:$P$41,'301'!$P$43,'301'!$P$45,'301'!$P$47,'301'!$P$49:$P$50,'301'!$P$52:$P$53,'301'!$P$55,'301'!$P$57,'301'!$P$59,'301'!$P$61,'301'!$P$63,'301'!$P$65,'301'!$P$67,'301'!$P$69,'301'!$P$71:$P$74,'301'!$P$76:$P$77,'301'!$P$79,'301'!$P$81:$P$86,'301'!$P$88,'301'!$P$90,'301'!$P$92:$P$93,'301'!$P$95</definedName>
    <definedName name="OSRRefP22x_0" localSheetId="52">'307'!$P$34:$P$41,'307'!$P$43:$P$52,'307'!$P$54,'307'!$P$56,'307'!$P$58,'307'!$P$60:$P$61,'307'!$P$63,'307'!$P$65,'307'!$P$67,'307'!$P$69:$P$70,'307'!$P$72:$P$73,'307'!$P$75:$P$78,'307'!$P$80</definedName>
    <definedName name="OSRRefP22x_0" localSheetId="53">'308'!$P$35:$P$44,'308'!$P$46:$P$55,'308'!$P$57,'308'!$P$59,'308'!$P$61,'308'!$P$63,'308'!$P$65,'308'!$P$67,'308'!$P$69:$P$71,'308'!$P$73,'308'!$P$75:$P$76,'308'!$P$78:$P$79,'308'!$P$81</definedName>
    <definedName name="OSRRefP22x_0" localSheetId="63">'309'!$P$20,'309'!$P$22,'309'!$P$24,'309'!$P$26,'309'!$P$28:$P$29,'309'!$P$31,'309'!$P$33</definedName>
    <definedName name="OSRRefP22x_0" localSheetId="62">'310'!$P$27:$P$35,'310'!$P$37:$P$46,'310'!$P$48,'310'!$P$50,'310'!$P$52,'310'!$P$54:$P$55,'310'!$P$57,'310'!$P$59,'310'!$P$61,'310'!$P$63,'310'!$P$65,'310'!$P$67:$P$69,'310'!$P$71,'310'!$P$73:$P$75,'310'!$P$77:$P$81,'310'!$P$83:$P$84,'310'!$P$86,'310'!$P$88</definedName>
    <definedName name="OSRRefP22x_0" localSheetId="69">'310 &amp; 491'!$P$29:$P$37,'310 &amp; 491'!$P$39:$P$48,'310 &amp; 491'!$P$50,'310 &amp; 491'!$P$52,'310 &amp; 491'!$P$54,'310 &amp; 491'!$P$56:$P$57,'310 &amp; 491'!$P$59,'310 &amp; 491'!$P$61,'310 &amp; 491'!$P$63,'310 &amp; 491'!$P$65,'310 &amp; 491'!$P$67,'310 &amp; 491'!$P$69,'310 &amp; 491'!$P$71:$P$73,'310 &amp; 491'!$P$75:$P$76,'310 &amp; 491'!$P$78:$P$82,'310 &amp; 491'!$P$84,'310 &amp; 491'!$P$86:$P$95,'310 &amp; 491'!$P$97:$P$98,'310 &amp; 491'!$P$100,'310 &amp; 491'!$P$102,'310 &amp; 491'!$P$104</definedName>
    <definedName name="OSRRefP22x_0" localSheetId="54">'311'!$P$35:$P$44,'311'!$P$46:$P$55,'311'!$P$57,'311'!$P$59,'311'!$P$61,'311'!$P$63,'311'!$P$65,'311'!$P$67,'311'!$P$69:$P$71,'311'!$P$73,'311'!$P$75:$P$76,'311'!$P$78:$P$79,'311'!$P$81</definedName>
    <definedName name="OSRRefP22x_0" localSheetId="57">'315'!$P$44:$P$52,'315'!$P$54:$P$63,'315'!$P$65,'315'!$P$67,'315'!$P$69,'315'!$P$71,'315'!$P$73,'315'!$P$75,'315'!$P$77:$P$78,'315'!$P$80,'315'!$P$82,'315'!$P$84,'315'!$P$86:$P$87,'315'!$P$89:$P$91,'315'!$P$93:$P$94,'315'!$P$96:$P$99,'315'!$P$101,'315'!$P$103</definedName>
    <definedName name="OSRRefP22x_0" localSheetId="59">'316'!$P$27:$P$35,'316'!$P$37:$P$46,'316'!$P$48,'316'!$P$50,'316'!$P$52,'316'!$P$54:$P$55,'316'!$P$57,'316'!$P$59:$P$61,'316'!$P$63,'316'!$P$65:$P$68,'316'!$P$70</definedName>
    <definedName name="OSRRefP22x_0" localSheetId="61">'317'!$P$35:$P$44,'317'!$P$46:$P$55,'317'!$P$57,'317'!$P$59,'317'!$P$61,'317'!$P$63,'317'!$P$65,'317'!$P$67,'317'!$P$69:$P$70,'317'!$P$72</definedName>
    <definedName name="OSRRefP22x_0" localSheetId="64">'321'!$P$24:$P$32,'321'!$P$34:$P$43,'321'!$P$45,'321'!$P$47,'321'!$P$49,'321'!$P$51,'321'!$P$53:$P$54,'321'!$P$56,'321'!$P$58:$P$59,'321'!$P$61:$P$64,'321'!$P$66,'321'!$P$68</definedName>
    <definedName name="OSRRefP22x_0" localSheetId="65">'325'!$P$25:$P$33,'325'!$P$35:$P$44,'325'!$P$46,'325'!$P$48,'325'!$P$50,'325'!$P$52:$P$53,'325'!$P$55,'325'!$P$57,'325'!$P$59,'325'!$P$61,'325'!$P$63,'325'!$P$65:$P$67,'325'!$P$69:$P$71,'325'!$P$73:$P$77,'325'!$P$79:$P$80,'325'!$P$82</definedName>
    <definedName name="OSRRefP22x_0" localSheetId="66">'326'!$P$28:$P$36,'326'!$P$38:$P$47,'326'!$P$49,'326'!$P$51,'326'!$P$53,'326'!$P$55,'326'!$P$57:$P$58,'326'!$P$60,'326'!$P$62,'326'!$P$64,'326'!$P$66,'326'!$P$68:$P$69,'326'!$P$71:$P$72,'326'!$P$74:$P$75,'326'!$P$77:$P$79,'326'!$P$81,'326'!$P$83:$P$84,'326'!$P$86</definedName>
    <definedName name="OSRRefP22x_0" localSheetId="67">'327'!$P$26</definedName>
    <definedName name="OSRRefP22x_0" localSheetId="51">'330'!$P$34:$P$41,'330'!$P$43:$P$52,'330'!$P$54,'330'!$P$56,'330'!$P$58,'330'!$P$60:$P$61,'330'!$P$63,'330'!$P$65,'330'!$P$67,'330'!$P$69:$P$70,'330'!$P$72:$P$73,'330'!$P$75:$P$78,'330'!$P$80</definedName>
    <definedName name="OSRRefP22x_0" localSheetId="56">'331'!$P$44:$P$52,'331'!$P$54:$P$63,'331'!$P$65,'331'!$P$67,'331'!$P$69,'331'!$P$71,'331'!$P$73,'331'!$P$75,'331'!$P$77:$P$78,'331'!$P$80:$P$81,'331'!$P$83,'331'!$P$85,'331'!$P$87,'331'!$P$89,'331'!$P$91:$P$92,'331'!$P$94:$P$96,'331'!$P$98:$P$99,'331'!$P$101:$P$102,'331'!$P$104:$P$108,'331'!$P$110,'331'!$P$112:$P$113,'331'!$P$115</definedName>
    <definedName name="OSRRefP22x_0" localSheetId="58">'332'!$P$27:$P$35,'332'!$P$37:$P$46,'332'!$P$48,'332'!$P$50,'332'!$P$52,'332'!$P$54:$P$55,'332'!$P$57,'332'!$P$59:$P$61,'332'!$P$63,'332'!$P$65:$P$68,'332'!$P$70</definedName>
    <definedName name="OSRRefP22x_0" localSheetId="71">'405'!$P$27:$P$35,'405'!$P$37:$P$46,'405'!$P$48,'405'!$P$50,'405'!$P$52,'405'!$P$54:$P$55,'405'!$P$57,'405'!$P$59,'405'!$P$61,'405'!$P$63:$P$64,'405'!$P$66:$P$69,'405'!$P$71,'405'!$P$73:$P$80,'405'!$P$82,'405'!$P$84,'405'!$P$86</definedName>
    <definedName name="OSRRefP22x_0" localSheetId="72">'406'!$P$20,'406'!$P$22</definedName>
    <definedName name="OSRRefP22x_0" localSheetId="73">'411'!$P$20:$P$28,'411'!$P$30:$P$39,'411'!$P$41,'411'!$P$43:$P$44,'411'!$P$46,'411'!$P$48,'411'!$P$50,'411'!$P$52,'411'!$P$54:$P$56,'411'!$P$58:$P$60,'411'!$P$62,'411'!$P$64,'411'!$P$66,'411'!$P$68,'411'!$P$70</definedName>
    <definedName name="OSRRefP22x_0" localSheetId="74">'412'!$P$20,'412'!$P$22,'412'!$P$24,'412'!$P$26</definedName>
    <definedName name="OSRRefP22x_0" localSheetId="75">'413'!$P$20,'413'!$P$22,'413'!$P$24</definedName>
    <definedName name="OSRRefP22x_0" localSheetId="76">'414'!$P$20,'414'!$P$22,'414'!$P$24</definedName>
    <definedName name="OSRRefP22x_0" localSheetId="77">'415'!$P$27:$P$35,'415'!$P$37:$P$46,'415'!$P$48,'415'!$P$50,'415'!$P$52,'415'!$P$54:$P$55,'415'!$P$57,'415'!$P$59,'415'!$P$61,'415'!$P$63,'415'!$P$65,'415'!$P$67:$P$68,'415'!$P$70:$P$73,'415'!$P$75,'415'!$P$77:$P$82,'415'!$P$84:$P$85,'415'!$P$87,'415'!$P$89</definedName>
    <definedName name="OSRRefP22x_0" localSheetId="78">'418'!$P$24:$P$32,'418'!$P$34:$P$43,'418'!$P$45,'418'!$P$47,'418'!$P$49:$P$50,'418'!$P$52,'418'!$P$54,'418'!$P$56,'418'!$P$58:$P$59,'418'!$P$61:$P$64,'418'!$P$66,'418'!$P$68:$P$75,'418'!$P$77:$P$78,'418'!$P$80,'418'!$P$82</definedName>
    <definedName name="OSRRefP22x_0" localSheetId="79">'423'!$P$20:$P$27,'423'!$P$29:$P$38,'423'!$P$40,'423'!$P$42,'423'!$P$44,'423'!$P$46</definedName>
    <definedName name="OSRRefP22x_0" localSheetId="80">'424'!$P$20,'424'!$P$22,'424'!$P$24</definedName>
    <definedName name="OSRRefP22x_0" localSheetId="81">'425'!$P$22,'425'!$P$24,'425'!$P$26,'425'!$P$28,'425'!$P$30,'425'!$P$32</definedName>
    <definedName name="OSRRefP22x_0" localSheetId="83">'430'!$P$20:$P$28,'430'!$P$30:$P$39,'430'!$P$41,'430'!$P$43,'430'!$P$45,'430'!$P$47:$P$48,'430'!$P$50:$P$51,'430'!$P$53,'430'!$P$55</definedName>
    <definedName name="OSRRefP22x_0" localSheetId="84">'433'!$P$27:$P$36,'433'!$P$38:$P$47,'433'!$P$49,'433'!$P$51,'433'!$P$53,'433'!$P$55,'433'!$P$57,'433'!$P$59,'433'!$P$61,'433'!$P$63,'433'!$P$65,'433'!$P$67:$P$69,'433'!$P$71:$P$74,'433'!$P$76:$P$83,'433'!$P$85</definedName>
    <definedName name="OSRRefP22x_0" localSheetId="85">'444'!$P$27:$P$36,'444'!$P$38:$P$47,'444'!$P$49,'444'!$P$51,'444'!$P$53,'444'!$P$55,'444'!$P$57,'444'!$P$59,'444'!$P$61,'444'!$P$63,'444'!$P$65,'444'!$P$67:$P$68,'444'!$P$70:$P$73,'444'!$P$75,'444'!$P$77:$P$84,'444'!$P$86,'444'!$P$88</definedName>
    <definedName name="OSRRefP22x_0" localSheetId="86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70">'491'!$P$28:$P$36,'491'!$P$38:$P$47,'491'!$P$49,'491'!$P$51,'491'!$P$53,'491'!$P$55:$P$56,'491'!$P$58,'491'!$P$60,'491'!$P$62,'491'!$P$64,'491'!$P$66,'491'!$P$68,'491'!$P$70:$P$72,'491'!$P$74,'491'!$P$76:$P$80,'491'!$P$82,'491'!$P$84:$P$92,'491'!$P$94:$P$95,'491'!$P$97,'491'!$P$99,'491'!$P$101</definedName>
    <definedName name="OSRRefP22x_0" localSheetId="82">'492'!$P$27:$P$36,'492'!$P$38:$P$47,'492'!$P$49,'492'!$P$51,'492'!$P$53,'492'!$P$55,'492'!$P$57,'492'!$P$59,'492'!$P$61,'492'!$P$63,'492'!$P$65,'492'!$P$67,'492'!$P$69:$P$71,'492'!$P$73:$P$76,'492'!$P$78,'492'!$P$80:$P$87,'492'!$P$89:$P$90,'492'!$P$92,'492'!$P$94:$P$95</definedName>
    <definedName name="OSRRefP22x_0" localSheetId="88">'501'!$P$21:$P$30,'501'!$P$32:$P$41,'501'!$P$43,'501'!$P$45,'501'!$P$47,'501'!$P$49:$P$50,'501'!$P$52,'501'!$P$54,'501'!$P$56,'501'!$P$58:$P$60,'501'!$P$62,'501'!$P$64:$P$66,'501'!$P$68,'501'!$P$70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2'!$P$77:$P$78,'Div 2'!$P$80:$P$85,'Div 2'!$P$87:$P$88,'Div 2'!$P$90,'Div 2'!$P$92:$P$93</definedName>
    <definedName name="OSRRefP22x_0" localSheetId="47">'Div 3'!$P$58:$P$67,'Div 3'!$P$69:$P$78,'Div 3'!$P$80,'Div 3'!$P$82,'Div 3'!$P$84,'Div 3'!$P$86:$P$87,'Div 3'!$P$89:$P$90,'Div 3'!$P$92,'Div 3'!$P$94,'Div 3'!$P$96,'Div 3'!$P$98:$P$99,'Div 3'!$P$101:$P$102,'Div 3'!$P$104,'Div 3'!$P$106,'Div 3'!$P$108,'Div 3'!$P$110,'Div 3'!$P$112,'Div 3'!$P$114:$P$117,'Div 3'!$P$119:$P$122,'Div 3'!$P$124:$P$127,'Div 3'!$P$129:$P$130,'Div 3'!$P$132:$P$138,'Div 3'!$P$140:$P$141,'Div 3'!$P$143,'Div 3'!$P$145:$P$147,'Div 3'!$P$149</definedName>
    <definedName name="OSRRefP22x_0" localSheetId="68">'Div 4'!$P$29:$P$38,'Div 4'!$P$40:$P$49,'Div 4'!$P$51,'Div 4'!$P$53,'Div 4'!$P$55,'Div 4'!$P$57:$P$58,'Div 4'!$P$60,'Div 4'!$P$62,'Div 4'!$P$64,'Div 4'!$P$66,'Div 4'!$P$68,'Div 4'!$P$70,'Div 4'!$P$72,'Div 4'!$P$74,'Div 4'!$P$76:$P$78,'Div 4'!$P$80,'Div 4'!$P$82:$P$86,'Div 4'!$P$88:$P$89,'Div 4'!$P$91:$P$100,'Div 4'!$P$102:$P$103,'Div 4'!$P$105,'Div 4'!$P$107:$P$108,'Div 4'!$P$110</definedName>
    <definedName name="OSRRefP22x_0" localSheetId="87">'Div 5'!$P$21:$P$30,'Div 5'!$P$32:$P$41,'Div 5'!$P$43,'Div 5'!$P$45,'Div 5'!$P$47,'Div 5'!$P$49:$P$50,'Div 5'!$P$52,'Div 5'!$P$54,'Div 5'!$P$56,'Div 5'!$P$58:$P$60,'Div 5'!$P$62,'Div 5'!$P$64:$P$66,'Div 5'!$P$68,'Div 5'!$P$70</definedName>
    <definedName name="OSRRefP22x_0" localSheetId="60">'Div 6'!$P$35:$P$44,'Div 6'!$P$46:$P$55,'Div 6'!$P$57,'Div 6'!$P$59,'Div 6'!$P$61,'Div 6'!$P$63,'Div 6'!$P$65,'Div 6'!$P$67,'Div 6'!$P$69:$P$70,'Div 6'!$P$72</definedName>
    <definedName name="OSRRefP22x_0" localSheetId="2">Summary!$P$66:$P$75,Summary!$P$77:$P$86,Summary!$P$88,Summary!$P$90,Summary!$P$92,Summary!$P$94:$P$95,Summary!$P$97:$P$98,Summary!$P$100,Summary!$P$102,Summary!$P$104,Summary!$P$106:$P$107,Summary!$P$109:$P$110,Summary!$P$112,Summary!$P$114,Summary!$P$116,Summary!$P$118,Summary!$P$120,Summary!$P$122,Summary!$P$124:$P$127,Summary!$P$129:$P$132,Summary!$P$134:$P$138,Summary!$P$140:$P$141,Summary!$P$143:$P$152,Summary!$P$154:$P$155,Summary!$P$157,Summary!$P$159:$P$161,Summary!$P$163</definedName>
    <definedName name="OSRRefP25x_0" localSheetId="48">'300'!$P$145:$P$149</definedName>
    <definedName name="OSRRefP25x_0" localSheetId="49">'300 &amp; 317'!$P$151:$P$157</definedName>
    <definedName name="OSRRefP25x_0" localSheetId="50">'301'!$P$98:$P$99</definedName>
    <definedName name="OSRRefP25x_0" localSheetId="53">'308'!$P$84:$P$87</definedName>
    <definedName name="OSRRefP25x_0" localSheetId="69">'310 &amp; 491'!$P$107:$P$109</definedName>
    <definedName name="OSRRefP25x_0" localSheetId="54">'311'!$P$84:$P$87</definedName>
    <definedName name="OSRRefP25x_0" localSheetId="57">'315'!$P$106:$P$108</definedName>
    <definedName name="OSRRefP25x_0" localSheetId="59">'316'!$P$73</definedName>
    <definedName name="OSRRefP25x_0" localSheetId="61">'317'!$P$75:$P$77</definedName>
    <definedName name="OSRRefP25x_0" localSheetId="56">'331'!$P$118:$P$120</definedName>
    <definedName name="OSRRefP25x_0" localSheetId="58">'332'!$P$73</definedName>
    <definedName name="OSRRefP25x_0" localSheetId="71">'405'!$P$89</definedName>
    <definedName name="OSRRefP25x_0" localSheetId="73">'411'!$P$73</definedName>
    <definedName name="OSRRefP25x_0" localSheetId="77">'415'!$P$92</definedName>
    <definedName name="OSRRefP25x_0" localSheetId="78">'418'!$P$85</definedName>
    <definedName name="OSRRefP25x_0" localSheetId="79">'423'!$P$49</definedName>
    <definedName name="OSRRefP25x_0" localSheetId="70">'491'!$P$104:$P$106</definedName>
    <definedName name="OSRRefP25x_0" localSheetId="88">'501'!$P$73</definedName>
    <definedName name="OSRRefP25x_0" localSheetId="47">'Div 3'!$P$152:$P$156</definedName>
    <definedName name="OSRRefP25x_0" localSheetId="68">'Div 4'!$P$113:$P$115</definedName>
    <definedName name="OSRRefP25x_0" localSheetId="87">'Div 5'!$P$73</definedName>
    <definedName name="OSRRefP25x_0" localSheetId="60">'Div 6'!$P$75:$P$77</definedName>
    <definedName name="OSRRefP25x_0" localSheetId="2">Summary!$P$166:$P$173</definedName>
    <definedName name="OSRRefT13x_0" localSheetId="48">'300'!$T$13:$T$19</definedName>
    <definedName name="OSRRefT13x_0" localSheetId="49">'300 &amp; 317'!$T$13:$T$19</definedName>
    <definedName name="OSRRefT13x_0" localSheetId="52">'307'!$T$13:$T$16</definedName>
    <definedName name="OSRRefT13x_0" localSheetId="53">'308'!$T$13:$T$17</definedName>
    <definedName name="OSRRefT13x_0" localSheetId="62">'310'!$T$13:$T$16</definedName>
    <definedName name="OSRRefT13x_0" localSheetId="69">'310 &amp; 491'!$T$13:$T$18</definedName>
    <definedName name="OSRRefT13x_0" localSheetId="54">'311'!$T$13:$T$17</definedName>
    <definedName name="OSRRefT13x_0" localSheetId="57">'315'!$T$13:$T$17</definedName>
    <definedName name="OSRRefT13x_0" localSheetId="59">'316'!$T$13:$T$17</definedName>
    <definedName name="OSRRefT13x_0" localSheetId="61">'317'!$T$13:$T$17</definedName>
    <definedName name="OSRRefT13x_0" localSheetId="64">'321'!$T$13:$T$14</definedName>
    <definedName name="OSRRefT13x_0" localSheetId="55">'324'!$T$13:$T$14</definedName>
    <definedName name="OSRRefT13x_0" localSheetId="65">'325'!$T$13:$T$14</definedName>
    <definedName name="OSRRefT13x_0" localSheetId="66">'326'!$T$13:$T$16</definedName>
    <definedName name="OSRRefT13x_0" localSheetId="67">'327'!$T$13:$T$15</definedName>
    <definedName name="OSRRefT13x_0" localSheetId="51">'330'!$T$13:$T$16</definedName>
    <definedName name="OSRRefT13x_0" localSheetId="56">'331'!$T$13:$T$17</definedName>
    <definedName name="OSRRefT13x_0" localSheetId="58">'332'!$T$13:$T$17</definedName>
    <definedName name="OSRRefT13x_0" localSheetId="71">'405'!$T$13:$T$16</definedName>
    <definedName name="OSRRefT13x_0" localSheetId="77">'415'!$T$13:$T$16</definedName>
    <definedName name="OSRRefT13x_0" localSheetId="78">'418'!$T$13:$T$14</definedName>
    <definedName name="OSRRefT13x_0" localSheetId="81">'425'!$T$13</definedName>
    <definedName name="OSRRefT13x_0" localSheetId="84">'433'!$T$13:$T$16</definedName>
    <definedName name="OSRRefT13x_0" localSheetId="85">'444'!$T$13:$T$16</definedName>
    <definedName name="OSRRefT13x_0" localSheetId="86">'450'!$T$13:$T$16</definedName>
    <definedName name="OSRRefT13x_0" localSheetId="70">'491'!$T$13:$T$17</definedName>
    <definedName name="OSRRefT13x_0" localSheetId="82">'492'!$T$13:$T$16</definedName>
    <definedName name="OSRRefT13x_0" localSheetId="88">'501'!$T$13</definedName>
    <definedName name="OSRRefT13x_0" localSheetId="47">'Div 3'!$T$13:$T$21</definedName>
    <definedName name="OSRRefT13x_0" localSheetId="68">'Div 4'!$T$13:$T$18</definedName>
    <definedName name="OSRRefT13x_0" localSheetId="87">'Div 5'!$T$13</definedName>
    <definedName name="OSRRefT13x_0" localSheetId="60">'Div 6'!$T$13:$T$17</definedName>
    <definedName name="OSRRefT13x_0" localSheetId="2">Summary!$T$13:$T$23</definedName>
    <definedName name="OSRRefT16x_0" localSheetId="48">'300'!$T$22:$T$48</definedName>
    <definedName name="OSRRefT16x_0" localSheetId="49">'300 &amp; 317'!$T$22:$T$54</definedName>
    <definedName name="OSRRefT16x_0" localSheetId="50">'301'!$T$15</definedName>
    <definedName name="OSRRefT16x_0" localSheetId="52">'307'!$T$19:$T$28</definedName>
    <definedName name="OSRRefT16x_0" localSheetId="53">'308'!$T$20:$T$29</definedName>
    <definedName name="OSRRefT16x_0" localSheetId="62">'310'!$T$19:$T$21</definedName>
    <definedName name="OSRRefT16x_0" localSheetId="69">'310 &amp; 491'!$T$21:$T$23</definedName>
    <definedName name="OSRRefT16x_0" localSheetId="54">'311'!$T$20:$T$29</definedName>
    <definedName name="OSRRefT16x_0" localSheetId="57">'315'!$T$20:$T$38</definedName>
    <definedName name="OSRRefT16x_0" localSheetId="59">'316'!$T$20:$T$21</definedName>
    <definedName name="OSRRefT16x_0" localSheetId="61">'317'!$T$20:$T$29</definedName>
    <definedName name="OSRRefT16x_0" localSheetId="64">'321'!$T$17:$T$18</definedName>
    <definedName name="OSRRefT16x_0" localSheetId="55">'324'!$T$17</definedName>
    <definedName name="OSRRefT16x_0" localSheetId="65">'325'!$T$17:$T$19</definedName>
    <definedName name="OSRRefT16x_0" localSheetId="66">'326'!$T$19:$T$22</definedName>
    <definedName name="OSRRefT16x_0" localSheetId="67">'327'!$T$18:$T$20</definedName>
    <definedName name="OSRRefT16x_0" localSheetId="51">'330'!$T$19:$T$28</definedName>
    <definedName name="OSRRefT16x_0" localSheetId="56">'331'!$T$20:$T$38</definedName>
    <definedName name="OSRRefT16x_0" localSheetId="58">'332'!$T$20:$T$21</definedName>
    <definedName name="OSRRefT16x_0" localSheetId="71">'405'!$T$19:$T$21</definedName>
    <definedName name="OSRRefT16x_0" localSheetId="77">'415'!$T$19:$T$21</definedName>
    <definedName name="OSRRefT16x_0" localSheetId="78">'418'!$T$17:$T$18</definedName>
    <definedName name="OSRRefT16x_0" localSheetId="81">'425'!$T$16</definedName>
    <definedName name="OSRRefT16x_0" localSheetId="84">'433'!$T$19:$T$21</definedName>
    <definedName name="OSRRefT16x_0" localSheetId="85">'444'!$T$19:$T$21</definedName>
    <definedName name="OSRRefT16x_0" localSheetId="86">'450'!$T$19:$T$21</definedName>
    <definedName name="OSRRefT16x_0" localSheetId="70">'491'!$T$20:$T$22</definedName>
    <definedName name="OSRRefT16x_0" localSheetId="82">'492'!$T$19:$T$21</definedName>
    <definedName name="OSRRefT16x_0" localSheetId="47">'Div 3'!$T$24:$T$52</definedName>
    <definedName name="OSRRefT16x_0" localSheetId="68">'Div 4'!$T$21:$T$23</definedName>
    <definedName name="OSRRefT16x_0" localSheetId="60">'Div 6'!$T$20:$T$29</definedName>
    <definedName name="OSRRefT16x_0" localSheetId="2">Summary!$T$26:$T$60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'300'!$T$54:$T$63</definedName>
    <definedName name="OSRRefT22_0x_0" localSheetId="49">'300 &amp; 317'!$T$60:$T$69</definedName>
    <definedName name="OSRRefT22_0x_0" localSheetId="50">'301'!$T$21:$T$30</definedName>
    <definedName name="OSRRefT22_0x_0" localSheetId="52">'307'!$T$34:$T$41</definedName>
    <definedName name="OSRRefT22_0x_0" localSheetId="53">'308'!$T$35:$T$44</definedName>
    <definedName name="OSRRefT22_0x_0" localSheetId="63">'309'!$T$20</definedName>
    <definedName name="OSRRefT22_0x_0" localSheetId="62">'310'!$T$27:$T$35</definedName>
    <definedName name="OSRRefT22_0x_0" localSheetId="69">'310 &amp; 491'!$T$29:$T$37</definedName>
    <definedName name="OSRRefT22_0x_0" localSheetId="54">'311'!$T$35:$T$44</definedName>
    <definedName name="OSRRefT22_0x_0" localSheetId="57">'315'!$T$44:$T$52</definedName>
    <definedName name="OSRRefT22_0x_0" localSheetId="59">'316'!$T$27:$T$35</definedName>
    <definedName name="OSRRefT22_0x_0" localSheetId="61">'317'!$T$35:$T$44</definedName>
    <definedName name="OSRRefT22_0x_0" localSheetId="64">'321'!$T$24:$T$32</definedName>
    <definedName name="OSRRefT22_0x_0" localSheetId="65">'325'!$T$25:$T$33</definedName>
    <definedName name="OSRRefT22_0x_0" localSheetId="66">'326'!$T$28:$T$36</definedName>
    <definedName name="OSRRefT22_0x_0" localSheetId="67">'327'!$T$26</definedName>
    <definedName name="OSRRefT22_0x_0" localSheetId="51">'330'!$T$34:$T$41</definedName>
    <definedName name="OSRRefT22_0x_0" localSheetId="56">'331'!$T$44:$T$52</definedName>
    <definedName name="OSRRefT22_0x_0" localSheetId="58">'332'!$T$27:$T$35</definedName>
    <definedName name="OSRRefT22_0x_0" localSheetId="71">'405'!$T$27:$T$35</definedName>
    <definedName name="OSRRefT22_0x_0" localSheetId="72">'406'!$T$20</definedName>
    <definedName name="OSRRefT22_0x_0" localSheetId="73">'411'!$T$20:$T$28</definedName>
    <definedName name="OSRRefT22_0x_0" localSheetId="74">'412'!$T$20</definedName>
    <definedName name="OSRRefT22_0x_0" localSheetId="75">'413'!$T$20</definedName>
    <definedName name="OSRRefT22_0x_0" localSheetId="76">'414'!$T$20</definedName>
    <definedName name="OSRRefT22_0x_0" localSheetId="77">'415'!$T$27:$T$35</definedName>
    <definedName name="OSRRefT22_0x_0" localSheetId="78">'418'!$T$24:$T$32</definedName>
    <definedName name="OSRRefT22_0x_0" localSheetId="79">'423'!$T$20:$T$27</definedName>
    <definedName name="OSRRefT22_0x_0" localSheetId="80">'424'!$T$20</definedName>
    <definedName name="OSRRefT22_0x_0" localSheetId="81">'425'!$T$22</definedName>
    <definedName name="OSRRefT22_0x_0" localSheetId="83">'430'!$T$20:$T$28</definedName>
    <definedName name="OSRRefT22_0x_0" localSheetId="84">'433'!$T$27:$T$36</definedName>
    <definedName name="OSRRefT22_0x_0" localSheetId="85">'444'!$T$27:$T$36</definedName>
    <definedName name="OSRRefT22_0x_0" localSheetId="86">'450'!$T$27:$T$36</definedName>
    <definedName name="OSRRefT22_0x_0" localSheetId="70">'491'!$T$28:$T$36</definedName>
    <definedName name="OSRRefT22_0x_0" localSheetId="82">'492'!$T$27:$T$36</definedName>
    <definedName name="OSRRefT22_0x_0" localSheetId="88">'501'!$T$21:$T$30</definedName>
    <definedName name="OSRRefT22_0x_0" localSheetId="39">'Div 2'!$T$20:$T$30</definedName>
    <definedName name="OSRRefT22_0x_0" localSheetId="47">'Div 3'!$T$58:$T$67</definedName>
    <definedName name="OSRRefT22_0x_0" localSheetId="68">'Div 4'!$T$29:$T$38</definedName>
    <definedName name="OSRRefT22_0x_0" localSheetId="87">'Div 5'!$T$21:$T$30</definedName>
    <definedName name="OSRRefT22_0x_0" localSheetId="60">'Div 6'!$T$35:$T$44</definedName>
    <definedName name="OSRRefT22_0x_0" localSheetId="2">Summary!$T$66:$T$75</definedName>
    <definedName name="OSRRefT22_10x_0" localSheetId="41">'201'!$T$59:$T$60</definedName>
    <definedName name="OSRRefT22_10x_0" localSheetId="42">'202'!$T$59</definedName>
    <definedName name="OSRRefT22_10x_0" localSheetId="43">'203'!$T$61</definedName>
    <definedName name="OSRRefT22_10x_0" localSheetId="44">'204'!$T$62</definedName>
    <definedName name="OSRRefT22_10x_0" localSheetId="48">'300'!$T$94:$T$95</definedName>
    <definedName name="OSRRefT22_10x_0" localSheetId="49">'300 &amp; 317'!$T$100:$T$101</definedName>
    <definedName name="OSRRefT22_10x_0" localSheetId="50">'301'!$T$61</definedName>
    <definedName name="OSRRefT22_10x_0" localSheetId="52">'307'!$T$72:$T$73</definedName>
    <definedName name="OSRRefT22_10x_0" localSheetId="53">'308'!$T$75:$T$76</definedName>
    <definedName name="OSRRefT22_10x_0" localSheetId="62">'310'!$T$65</definedName>
    <definedName name="OSRRefT22_10x_0" localSheetId="69">'310 &amp; 491'!$T$67</definedName>
    <definedName name="OSRRefT22_10x_0" localSheetId="54">'311'!$T$75:$T$76</definedName>
    <definedName name="OSRRefT22_10x_0" localSheetId="57">'315'!$T$82</definedName>
    <definedName name="OSRRefT22_10x_0" localSheetId="59">'316'!$T$70</definedName>
    <definedName name="OSRRefT22_10x_0" localSheetId="64">'321'!$T$66</definedName>
    <definedName name="OSRRefT22_10x_0" localSheetId="65">'325'!$T$63</definedName>
    <definedName name="OSRRefT22_10x_0" localSheetId="66">'326'!$T$66</definedName>
    <definedName name="OSRRefT22_10x_0" localSheetId="51">'330'!$T$72:$T$73</definedName>
    <definedName name="OSRRefT22_10x_0" localSheetId="56">'331'!$T$83</definedName>
    <definedName name="OSRRefT22_10x_0" localSheetId="58">'332'!$T$70</definedName>
    <definedName name="OSRRefT22_10x_0" localSheetId="71">'405'!$T$66:$T$69</definedName>
    <definedName name="OSRRefT22_10x_0" localSheetId="73">'411'!$T$62</definedName>
    <definedName name="OSRRefT22_10x_0" localSheetId="77">'415'!$T$65</definedName>
    <definedName name="OSRRefT22_10x_0" localSheetId="78">'418'!$T$66</definedName>
    <definedName name="OSRRefT22_10x_0" localSheetId="84">'433'!$T$65</definedName>
    <definedName name="OSRRefT22_10x_0" localSheetId="85">'444'!$T$65</definedName>
    <definedName name="OSRRefT22_10x_0" localSheetId="86">'450'!$T$65</definedName>
    <definedName name="OSRRefT22_10x_0" localSheetId="70">'491'!$T$66</definedName>
    <definedName name="OSRRefT22_10x_0" localSheetId="82">'492'!$T$65</definedName>
    <definedName name="OSRRefT22_10x_0" localSheetId="88">'501'!$T$62</definedName>
    <definedName name="OSRRefT22_10x_0" localSheetId="39">'Div 2'!$T$60</definedName>
    <definedName name="OSRRefT22_10x_0" localSheetId="47">'Div 3'!$T$98:$T$99</definedName>
    <definedName name="OSRRefT22_10x_0" localSheetId="68">'Div 4'!$T$68</definedName>
    <definedName name="OSRRefT22_10x_0" localSheetId="87">'Div 5'!$T$62</definedName>
    <definedName name="OSRRefT22_10x_0" localSheetId="2">Summary!$T$106:$T$107</definedName>
    <definedName name="OSRRefT22_11x_0" localSheetId="41">'201'!$T$62</definedName>
    <definedName name="OSRRefT22_11x_0" localSheetId="42">'202'!$T$61</definedName>
    <definedName name="OSRRefT22_11x_0" localSheetId="43">'203'!$T$63:$T$66</definedName>
    <definedName name="OSRRefT22_11x_0" localSheetId="48">'300'!$T$97:$T$98</definedName>
    <definedName name="OSRRefT22_11x_0" localSheetId="49">'300 &amp; 317'!$T$103:$T$104</definedName>
    <definedName name="OSRRefT22_11x_0" localSheetId="50">'301'!$T$63</definedName>
    <definedName name="OSRRefT22_11x_0" localSheetId="52">'307'!$T$75:$T$78</definedName>
    <definedName name="OSRRefT22_11x_0" localSheetId="53">'308'!$T$78:$T$79</definedName>
    <definedName name="OSRRefT22_11x_0" localSheetId="62">'310'!$T$67:$T$69</definedName>
    <definedName name="OSRRefT22_11x_0" localSheetId="69">'310 &amp; 491'!$T$69</definedName>
    <definedName name="OSRRefT22_11x_0" localSheetId="54">'311'!$T$78:$T$79</definedName>
    <definedName name="OSRRefT22_11x_0" localSheetId="57">'315'!$T$84</definedName>
    <definedName name="OSRRefT22_11x_0" localSheetId="64">'321'!$T$68</definedName>
    <definedName name="OSRRefT22_11x_0" localSheetId="65">'325'!$T$65:$T$67</definedName>
    <definedName name="OSRRefT22_11x_0" localSheetId="66">'326'!$T$68:$T$69</definedName>
    <definedName name="OSRRefT22_11x_0" localSheetId="51">'330'!$T$75:$T$78</definedName>
    <definedName name="OSRRefT22_11x_0" localSheetId="56">'331'!$T$85</definedName>
    <definedName name="OSRRefT22_11x_0" localSheetId="71">'405'!$T$71</definedName>
    <definedName name="OSRRefT22_11x_0" localSheetId="73">'411'!$T$64</definedName>
    <definedName name="OSRRefT22_11x_0" localSheetId="77">'415'!$T$67:$T$68</definedName>
    <definedName name="OSRRefT22_11x_0" localSheetId="78">'418'!$T$68:$T$75</definedName>
    <definedName name="OSRRefT22_11x_0" localSheetId="84">'433'!$T$67:$T$69</definedName>
    <definedName name="OSRRefT22_11x_0" localSheetId="85">'444'!$T$67:$T$68</definedName>
    <definedName name="OSRRefT22_11x_0" localSheetId="86">'450'!$T$67:$T$69</definedName>
    <definedName name="OSRRefT22_11x_0" localSheetId="70">'491'!$T$68</definedName>
    <definedName name="OSRRefT22_11x_0" localSheetId="82">'492'!$T$67</definedName>
    <definedName name="OSRRefT22_11x_0" localSheetId="88">'501'!$T$64:$T$66</definedName>
    <definedName name="OSRRefT22_11x_0" localSheetId="39">'Div 2'!$T$62</definedName>
    <definedName name="OSRRefT22_11x_0" localSheetId="47">'Div 3'!$T$101:$T$102</definedName>
    <definedName name="OSRRefT22_11x_0" localSheetId="68">'Div 4'!$T$70</definedName>
    <definedName name="OSRRefT22_11x_0" localSheetId="87">'Div 5'!$T$64:$T$66</definedName>
    <definedName name="OSRRefT22_11x_0" localSheetId="2">Summary!$T$109:$T$110</definedName>
    <definedName name="OSRRefT22_12x_0" localSheetId="41">'201'!$T$64:$T$65</definedName>
    <definedName name="OSRRefT22_12x_0" localSheetId="42">'202'!$T$63</definedName>
    <definedName name="OSRRefT22_12x_0" localSheetId="43">'203'!$T$68</definedName>
    <definedName name="OSRRefT22_12x_0" localSheetId="48">'300'!$T$100</definedName>
    <definedName name="OSRRefT22_12x_0" localSheetId="49">'300 &amp; 317'!$T$106</definedName>
    <definedName name="OSRRefT22_12x_0" localSheetId="50">'301'!$T$65</definedName>
    <definedName name="OSRRefT22_12x_0" localSheetId="52">'307'!$T$80</definedName>
    <definedName name="OSRRefT22_12x_0" localSheetId="53">'308'!$T$81</definedName>
    <definedName name="OSRRefT22_12x_0" localSheetId="62">'310'!$T$71</definedName>
    <definedName name="OSRRefT22_12x_0" localSheetId="69">'310 &amp; 491'!$T$71:$T$73</definedName>
    <definedName name="OSRRefT22_12x_0" localSheetId="54">'311'!$T$81</definedName>
    <definedName name="OSRRefT22_12x_0" localSheetId="57">'315'!$T$86:$T$87</definedName>
    <definedName name="OSRRefT22_12x_0" localSheetId="65">'325'!$T$69:$T$71</definedName>
    <definedName name="OSRRefT22_12x_0" localSheetId="66">'326'!$T$71:$T$72</definedName>
    <definedName name="OSRRefT22_12x_0" localSheetId="51">'330'!$T$80</definedName>
    <definedName name="OSRRefT22_12x_0" localSheetId="56">'331'!$T$87</definedName>
    <definedName name="OSRRefT22_12x_0" localSheetId="71">'405'!$T$73:$T$80</definedName>
    <definedName name="OSRRefT22_12x_0" localSheetId="73">'411'!$T$66</definedName>
    <definedName name="OSRRefT22_12x_0" localSheetId="77">'415'!$T$70:$T$73</definedName>
    <definedName name="OSRRefT22_12x_0" localSheetId="78">'418'!$T$77:$T$78</definedName>
    <definedName name="OSRRefT22_12x_0" localSheetId="84">'433'!$T$71:$T$74</definedName>
    <definedName name="OSRRefT22_12x_0" localSheetId="85">'444'!$T$70:$T$73</definedName>
    <definedName name="OSRRefT22_12x_0" localSheetId="86">'450'!$T$71:$T$74</definedName>
    <definedName name="OSRRefT22_12x_0" localSheetId="70">'491'!$T$70:$T$72</definedName>
    <definedName name="OSRRefT22_12x_0" localSheetId="82">'492'!$T$69:$T$71</definedName>
    <definedName name="OSRRefT22_12x_0" localSheetId="88">'501'!$T$68</definedName>
    <definedName name="OSRRefT22_12x_0" localSheetId="39">'Div 2'!$T$64:$T$67</definedName>
    <definedName name="OSRRefT22_12x_0" localSheetId="47">'Div 3'!$T$104</definedName>
    <definedName name="OSRRefT22_12x_0" localSheetId="68">'Div 4'!$T$72</definedName>
    <definedName name="OSRRefT22_12x_0" localSheetId="87">'Div 5'!$T$68</definedName>
    <definedName name="OSRRefT22_12x_0" localSheetId="2">Summary!$T$112</definedName>
    <definedName name="OSRRefT22_13x_0" localSheetId="41">'201'!$T$67</definedName>
    <definedName name="OSRRefT22_13x_0" localSheetId="43">'203'!$T$70</definedName>
    <definedName name="OSRRefT22_13x_0" localSheetId="48">'300'!$T$102</definedName>
    <definedName name="OSRRefT22_13x_0" localSheetId="49">'300 &amp; 317'!$T$108</definedName>
    <definedName name="OSRRefT22_13x_0" localSheetId="50">'301'!$T$67</definedName>
    <definedName name="OSRRefT22_13x_0" localSheetId="62">'310'!$T$73:$T$75</definedName>
    <definedName name="OSRRefT22_13x_0" localSheetId="69">'310 &amp; 491'!$T$75:$T$76</definedName>
    <definedName name="OSRRefT22_13x_0" localSheetId="57">'315'!$T$89:$T$91</definedName>
    <definedName name="OSRRefT22_13x_0" localSheetId="65">'325'!$T$73:$T$77</definedName>
    <definedName name="OSRRefT22_13x_0" localSheetId="66">'326'!$T$74:$T$75</definedName>
    <definedName name="OSRRefT22_13x_0" localSheetId="56">'331'!$T$89</definedName>
    <definedName name="OSRRefT22_13x_0" localSheetId="71">'405'!$T$82</definedName>
    <definedName name="OSRRefT22_13x_0" localSheetId="73">'411'!$T$68</definedName>
    <definedName name="OSRRefT22_13x_0" localSheetId="77">'415'!$T$75</definedName>
    <definedName name="OSRRefT22_13x_0" localSheetId="78">'418'!$T$80</definedName>
    <definedName name="OSRRefT22_13x_0" localSheetId="84">'433'!$T$76:$T$83</definedName>
    <definedName name="OSRRefT22_13x_0" localSheetId="85">'444'!$T$75</definedName>
    <definedName name="OSRRefT22_13x_0" localSheetId="86">'450'!$T$76:$T$82</definedName>
    <definedName name="OSRRefT22_13x_0" localSheetId="70">'491'!$T$74</definedName>
    <definedName name="OSRRefT22_13x_0" localSheetId="82">'492'!$T$73:$T$76</definedName>
    <definedName name="OSRRefT22_13x_0" localSheetId="88">'501'!$T$70</definedName>
    <definedName name="OSRRefT22_13x_0" localSheetId="39">'Div 2'!$T$69:$T$72</definedName>
    <definedName name="OSRRefT22_13x_0" localSheetId="47">'Div 3'!$T$106</definedName>
    <definedName name="OSRRefT22_13x_0" localSheetId="68">'Div 4'!$T$74</definedName>
    <definedName name="OSRRefT22_13x_0" localSheetId="87">'Div 5'!$T$70</definedName>
    <definedName name="OSRRefT22_13x_0" localSheetId="2">Summary!$T$114</definedName>
    <definedName name="OSRRefT22_14x_0" localSheetId="41">'201'!$T$69</definedName>
    <definedName name="OSRRefT22_14x_0" localSheetId="43">'203'!$T$72</definedName>
    <definedName name="OSRRefT22_14x_0" localSheetId="48">'300'!$T$104</definedName>
    <definedName name="OSRRefT22_14x_0" localSheetId="49">'300 &amp; 317'!$T$110</definedName>
    <definedName name="OSRRefT22_14x_0" localSheetId="50">'301'!$T$69</definedName>
    <definedName name="OSRRefT22_14x_0" localSheetId="62">'310'!$T$77:$T$81</definedName>
    <definedName name="OSRRefT22_14x_0" localSheetId="69">'310 &amp; 491'!$T$78:$T$82</definedName>
    <definedName name="OSRRefT22_14x_0" localSheetId="57">'315'!$T$93:$T$94</definedName>
    <definedName name="OSRRefT22_14x_0" localSheetId="65">'325'!$T$79:$T$80</definedName>
    <definedName name="OSRRefT22_14x_0" localSheetId="66">'326'!$T$77:$T$79</definedName>
    <definedName name="OSRRefT22_14x_0" localSheetId="56">'331'!$T$91:$T$92</definedName>
    <definedName name="OSRRefT22_14x_0" localSheetId="71">'405'!$T$84</definedName>
    <definedName name="OSRRefT22_14x_0" localSheetId="73">'411'!$T$70</definedName>
    <definedName name="OSRRefT22_14x_0" localSheetId="77">'415'!$T$77:$T$82</definedName>
    <definedName name="OSRRefT22_14x_0" localSheetId="78">'418'!$T$82</definedName>
    <definedName name="OSRRefT22_14x_0" localSheetId="84">'433'!$T$85</definedName>
    <definedName name="OSRRefT22_14x_0" localSheetId="85">'444'!$T$77:$T$84</definedName>
    <definedName name="OSRRefT22_14x_0" localSheetId="86">'450'!$T$84</definedName>
    <definedName name="OSRRefT22_14x_0" localSheetId="70">'491'!$T$76:$T$80</definedName>
    <definedName name="OSRRefT22_14x_0" localSheetId="82">'492'!$T$78</definedName>
    <definedName name="OSRRefT22_14x_0" localSheetId="39">'Div 2'!$T$74:$T$75</definedName>
    <definedName name="OSRRefT22_14x_0" localSheetId="47">'Div 3'!$T$108</definedName>
    <definedName name="OSRRefT22_14x_0" localSheetId="68">'Div 4'!$T$76:$T$78</definedName>
    <definedName name="OSRRefT22_14x_0" localSheetId="2">Summary!$T$116</definedName>
    <definedName name="OSRRefT22_15x_0" localSheetId="41">'201'!$T$71</definedName>
    <definedName name="OSRRefT22_15x_0" localSheetId="48">'300'!$T$106</definedName>
    <definedName name="OSRRefT22_15x_0" localSheetId="49">'300 &amp; 317'!$T$112</definedName>
    <definedName name="OSRRefT22_15x_0" localSheetId="50">'301'!$T$71:$T$74</definedName>
    <definedName name="OSRRefT22_15x_0" localSheetId="62">'310'!$T$83:$T$84</definedName>
    <definedName name="OSRRefT22_15x_0" localSheetId="69">'310 &amp; 491'!$T$84</definedName>
    <definedName name="OSRRefT22_15x_0" localSheetId="57">'315'!$T$96:$T$99</definedName>
    <definedName name="OSRRefT22_15x_0" localSheetId="65">'325'!$T$82</definedName>
    <definedName name="OSRRefT22_15x_0" localSheetId="66">'326'!$T$81</definedName>
    <definedName name="OSRRefT22_15x_0" localSheetId="56">'331'!$T$94:$T$96</definedName>
    <definedName name="OSRRefT22_15x_0" localSheetId="71">'405'!$T$86</definedName>
    <definedName name="OSRRefT22_15x_0" localSheetId="77">'415'!$T$84:$T$85</definedName>
    <definedName name="OSRRefT22_15x_0" localSheetId="85">'444'!$T$86</definedName>
    <definedName name="OSRRefT22_15x_0" localSheetId="86">'450'!$T$86</definedName>
    <definedName name="OSRRefT22_15x_0" localSheetId="70">'491'!$T$82</definedName>
    <definedName name="OSRRefT22_15x_0" localSheetId="82">'492'!$T$80:$T$87</definedName>
    <definedName name="OSRRefT22_15x_0" localSheetId="39">'Div 2'!$T$77:$T$78</definedName>
    <definedName name="OSRRefT22_15x_0" localSheetId="47">'Div 3'!$T$110</definedName>
    <definedName name="OSRRefT22_15x_0" localSheetId="68">'Div 4'!$T$80</definedName>
    <definedName name="OSRRefT22_15x_0" localSheetId="2">Summary!$T$118</definedName>
    <definedName name="OSRRefT22_16x_0" localSheetId="48">'300'!$T$108:$T$111</definedName>
    <definedName name="OSRRefT22_16x_0" localSheetId="49">'300 &amp; 317'!$T$114:$T$117</definedName>
    <definedName name="OSRRefT22_16x_0" localSheetId="50">'301'!$T$76:$T$77</definedName>
    <definedName name="OSRRefT22_16x_0" localSheetId="62">'310'!$T$86</definedName>
    <definedName name="OSRRefT22_16x_0" localSheetId="69">'310 &amp; 491'!$T$86:$T$95</definedName>
    <definedName name="OSRRefT22_16x_0" localSheetId="57">'315'!$T$101</definedName>
    <definedName name="OSRRefT22_16x_0" localSheetId="66">'326'!$T$83:$T$84</definedName>
    <definedName name="OSRRefT22_16x_0" localSheetId="56">'331'!$T$98:$T$99</definedName>
    <definedName name="OSRRefT22_16x_0" localSheetId="77">'415'!$T$87</definedName>
    <definedName name="OSRRefT22_16x_0" localSheetId="85">'444'!$T$88</definedName>
    <definedName name="OSRRefT22_16x_0" localSheetId="86">'450'!$T$88</definedName>
    <definedName name="OSRRefT22_16x_0" localSheetId="70">'491'!$T$84:$T$92</definedName>
    <definedName name="OSRRefT22_16x_0" localSheetId="82">'492'!$T$89:$T$90</definedName>
    <definedName name="OSRRefT22_16x_0" localSheetId="39">'Div 2'!$T$80:$T$85</definedName>
    <definedName name="OSRRefT22_16x_0" localSheetId="47">'Div 3'!$T$112</definedName>
    <definedName name="OSRRefT22_16x_0" localSheetId="68">'Div 4'!$T$82:$T$86</definedName>
    <definedName name="OSRRefT22_16x_0" localSheetId="2">Summary!$T$120</definedName>
    <definedName name="OSRRefT22_17x_0" localSheetId="48">'300'!$T$113:$T$116</definedName>
    <definedName name="OSRRefT22_17x_0" localSheetId="49">'300 &amp; 317'!$T$119:$T$122</definedName>
    <definedName name="OSRRefT22_17x_0" localSheetId="50">'301'!$T$79</definedName>
    <definedName name="OSRRefT22_17x_0" localSheetId="62">'310'!$T$88</definedName>
    <definedName name="OSRRefT22_17x_0" localSheetId="69">'310 &amp; 491'!$T$97:$T$98</definedName>
    <definedName name="OSRRefT22_17x_0" localSheetId="57">'315'!$T$103</definedName>
    <definedName name="OSRRefT22_17x_0" localSheetId="66">'326'!$T$86</definedName>
    <definedName name="OSRRefT22_17x_0" localSheetId="56">'331'!$T$101:$T$102</definedName>
    <definedName name="OSRRefT22_17x_0" localSheetId="77">'415'!$T$89</definedName>
    <definedName name="OSRRefT22_17x_0" localSheetId="70">'491'!$T$94:$T$95</definedName>
    <definedName name="OSRRefT22_17x_0" localSheetId="82">'492'!$T$92</definedName>
    <definedName name="OSRRefT22_17x_0" localSheetId="39">'Div 2'!$T$87:$T$88</definedName>
    <definedName name="OSRRefT22_17x_0" localSheetId="47">'Div 3'!$T$114:$T$117</definedName>
    <definedName name="OSRRefT22_17x_0" localSheetId="68">'Div 4'!$T$88:$T$89</definedName>
    <definedName name="OSRRefT22_17x_0" localSheetId="2">Summary!$T$122</definedName>
    <definedName name="OSRRefT22_18x_0" localSheetId="48">'300'!$T$118:$T$120</definedName>
    <definedName name="OSRRefT22_18x_0" localSheetId="49">'300 &amp; 317'!$T$124:$T$126</definedName>
    <definedName name="OSRRefT22_18x_0" localSheetId="50">'301'!$T$81:$T$86</definedName>
    <definedName name="OSRRefT22_18x_0" localSheetId="69">'310 &amp; 491'!$T$100</definedName>
    <definedName name="OSRRefT22_18x_0" localSheetId="56">'331'!$T$104:$T$108</definedName>
    <definedName name="OSRRefT22_18x_0" localSheetId="70">'491'!$T$97</definedName>
    <definedName name="OSRRefT22_18x_0" localSheetId="82">'492'!$T$94:$T$95</definedName>
    <definedName name="OSRRefT22_18x_0" localSheetId="39">'Div 2'!$T$90</definedName>
    <definedName name="OSRRefT22_18x_0" localSheetId="47">'Div 3'!$T$119:$T$122</definedName>
    <definedName name="OSRRefT22_18x_0" localSheetId="68">'Div 4'!$T$91:$T$100</definedName>
    <definedName name="OSRRefT22_18x_0" localSheetId="2">Summary!$T$124:$T$127</definedName>
    <definedName name="OSRRefT22_19x_0" localSheetId="48">'300'!$T$122:$T$123</definedName>
    <definedName name="OSRRefT22_19x_0" localSheetId="49">'300 &amp; 317'!$T$128:$T$129</definedName>
    <definedName name="OSRRefT22_19x_0" localSheetId="50">'301'!$T$88</definedName>
    <definedName name="OSRRefT22_19x_0" localSheetId="69">'310 &amp; 491'!$T$102</definedName>
    <definedName name="OSRRefT22_19x_0" localSheetId="56">'331'!$T$110</definedName>
    <definedName name="OSRRefT22_19x_0" localSheetId="70">'491'!$T$99</definedName>
    <definedName name="OSRRefT22_19x_0" localSheetId="39">'Div 2'!$T$92:$T$93</definedName>
    <definedName name="OSRRefT22_19x_0" localSheetId="47">'Div 3'!$T$124:$T$127</definedName>
    <definedName name="OSRRefT22_19x_0" localSheetId="68">'Div 4'!$T$102:$T$103</definedName>
    <definedName name="OSRRefT22_19x_0" localSheetId="2">Summary!$T$129:$T$132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'300'!$T$65:$T$74</definedName>
    <definedName name="OSRRefT22_1x_0" localSheetId="49">'300 &amp; 317'!$T$71:$T$80</definedName>
    <definedName name="OSRRefT22_1x_0" localSheetId="50">'301'!$T$32:$T$41</definedName>
    <definedName name="OSRRefT22_1x_0" localSheetId="52">'307'!$T$43:$T$52</definedName>
    <definedName name="OSRRefT22_1x_0" localSheetId="53">'308'!$T$46:$T$55</definedName>
    <definedName name="OSRRefT22_1x_0" localSheetId="63">'309'!$T$22</definedName>
    <definedName name="OSRRefT22_1x_0" localSheetId="62">'310'!$T$37:$T$46</definedName>
    <definedName name="OSRRefT22_1x_0" localSheetId="69">'310 &amp; 491'!$T$39:$T$48</definedName>
    <definedName name="OSRRefT22_1x_0" localSheetId="54">'311'!$T$46:$T$55</definedName>
    <definedName name="OSRRefT22_1x_0" localSheetId="57">'315'!$T$54:$T$63</definedName>
    <definedName name="OSRRefT22_1x_0" localSheetId="59">'316'!$T$37:$T$46</definedName>
    <definedName name="OSRRefT22_1x_0" localSheetId="61">'317'!$T$46:$T$55</definedName>
    <definedName name="OSRRefT22_1x_0" localSheetId="64">'321'!$T$34:$T$43</definedName>
    <definedName name="OSRRefT22_1x_0" localSheetId="65">'325'!$T$35:$T$44</definedName>
    <definedName name="OSRRefT22_1x_0" localSheetId="66">'326'!$T$38:$T$47</definedName>
    <definedName name="OSRRefT22_1x_0" localSheetId="51">'330'!$T$43:$T$52</definedName>
    <definedName name="OSRRefT22_1x_0" localSheetId="56">'331'!$T$54:$T$63</definedName>
    <definedName name="OSRRefT22_1x_0" localSheetId="58">'332'!$T$37:$T$46</definedName>
    <definedName name="OSRRefT22_1x_0" localSheetId="71">'405'!$T$37:$T$46</definedName>
    <definedName name="OSRRefT22_1x_0" localSheetId="72">'406'!$T$22</definedName>
    <definedName name="OSRRefT22_1x_0" localSheetId="73">'411'!$T$30:$T$39</definedName>
    <definedName name="OSRRefT22_1x_0" localSheetId="74">'412'!$T$22</definedName>
    <definedName name="OSRRefT22_1x_0" localSheetId="75">'413'!$T$22</definedName>
    <definedName name="OSRRefT22_1x_0" localSheetId="76">'414'!$T$22</definedName>
    <definedName name="OSRRefT22_1x_0" localSheetId="77">'415'!$T$37:$T$46</definedName>
    <definedName name="OSRRefT22_1x_0" localSheetId="78">'418'!$T$34:$T$43</definedName>
    <definedName name="OSRRefT22_1x_0" localSheetId="79">'423'!$T$29:$T$38</definedName>
    <definedName name="OSRRefT22_1x_0" localSheetId="80">'424'!$T$22</definedName>
    <definedName name="OSRRefT22_1x_0" localSheetId="81">'425'!$T$24</definedName>
    <definedName name="OSRRefT22_1x_0" localSheetId="83">'430'!$T$30:$T$39</definedName>
    <definedName name="OSRRefT22_1x_0" localSheetId="84">'433'!$T$38:$T$47</definedName>
    <definedName name="OSRRefT22_1x_0" localSheetId="85">'444'!$T$38:$T$47</definedName>
    <definedName name="OSRRefT22_1x_0" localSheetId="86">'450'!$T$38:$T$47</definedName>
    <definedName name="OSRRefT22_1x_0" localSheetId="70">'491'!$T$38:$T$47</definedName>
    <definedName name="OSRRefT22_1x_0" localSheetId="82">'492'!$T$38:$T$47</definedName>
    <definedName name="OSRRefT22_1x_0" localSheetId="88">'501'!$T$32:$T$41</definedName>
    <definedName name="OSRRefT22_1x_0" localSheetId="39">'Div 2'!$T$32:$T$41</definedName>
    <definedName name="OSRRefT22_1x_0" localSheetId="47">'Div 3'!$T$69:$T$78</definedName>
    <definedName name="OSRRefT22_1x_0" localSheetId="68">'Div 4'!$T$40:$T$49</definedName>
    <definedName name="OSRRefT22_1x_0" localSheetId="87">'Div 5'!$T$32:$T$41</definedName>
    <definedName name="OSRRefT22_1x_0" localSheetId="60">'Div 6'!$T$46:$T$55</definedName>
    <definedName name="OSRRefT22_1x_0" localSheetId="2">Summary!$T$77:$T$86</definedName>
    <definedName name="OSRRefT22_20x_0" localSheetId="48">'300'!$T$125:$T$131</definedName>
    <definedName name="OSRRefT22_20x_0" localSheetId="49">'300 &amp; 317'!$T$131:$T$137</definedName>
    <definedName name="OSRRefT22_20x_0" localSheetId="50">'301'!$T$90</definedName>
    <definedName name="OSRRefT22_20x_0" localSheetId="69">'310 &amp; 491'!$T$104</definedName>
    <definedName name="OSRRefT22_20x_0" localSheetId="56">'331'!$T$112:$T$113</definedName>
    <definedName name="OSRRefT22_20x_0" localSheetId="70">'491'!$T$101</definedName>
    <definedName name="OSRRefT22_20x_0" localSheetId="47">'Div 3'!$T$129:$T$130</definedName>
    <definedName name="OSRRefT22_20x_0" localSheetId="68">'Div 4'!$T$105</definedName>
    <definedName name="OSRRefT22_20x_0" localSheetId="2">Summary!$T$134:$T$138</definedName>
    <definedName name="OSRRefT22_21x_0" localSheetId="48">'300'!$T$133:$T$134</definedName>
    <definedName name="OSRRefT22_21x_0" localSheetId="49">'300 &amp; 317'!$T$139:$T$140</definedName>
    <definedName name="OSRRefT22_21x_0" localSheetId="50">'301'!$T$92:$T$93</definedName>
    <definedName name="OSRRefT22_21x_0" localSheetId="56">'331'!$T$115</definedName>
    <definedName name="OSRRefT22_21x_0" localSheetId="47">'Div 3'!$T$132:$T$138</definedName>
    <definedName name="OSRRefT22_21x_0" localSheetId="68">'Div 4'!$T$107:$T$108</definedName>
    <definedName name="OSRRefT22_21x_0" localSheetId="2">Summary!$T$140:$T$141</definedName>
    <definedName name="OSRRefT22_22x_0" localSheetId="48">'300'!$T$136</definedName>
    <definedName name="OSRRefT22_22x_0" localSheetId="49">'300 &amp; 317'!$T$142</definedName>
    <definedName name="OSRRefT22_22x_0" localSheetId="50">'301'!$T$95</definedName>
    <definedName name="OSRRefT22_22x_0" localSheetId="47">'Div 3'!$T$140:$T$141</definedName>
    <definedName name="OSRRefT22_22x_0" localSheetId="68">'Div 4'!$T$110</definedName>
    <definedName name="OSRRefT22_22x_0" localSheetId="2">Summary!$T$143:$T$152</definedName>
    <definedName name="OSRRefT22_23x_0" localSheetId="48">'300'!$T$138:$T$140</definedName>
    <definedName name="OSRRefT22_23x_0" localSheetId="49">'300 &amp; 317'!$T$144:$T$146</definedName>
    <definedName name="OSRRefT22_23x_0" localSheetId="47">'Div 3'!$T$143</definedName>
    <definedName name="OSRRefT22_23x_0" localSheetId="2">Summary!$T$154:$T$155</definedName>
    <definedName name="OSRRefT22_24x_0" localSheetId="48">'300'!$T$142</definedName>
    <definedName name="OSRRefT22_24x_0" localSheetId="49">'300 &amp; 317'!$T$148</definedName>
    <definedName name="OSRRefT22_24x_0" localSheetId="47">'Div 3'!$T$145:$T$147</definedName>
    <definedName name="OSRRefT22_24x_0" localSheetId="2">Summary!$T$157</definedName>
    <definedName name="OSRRefT22_25x_0" localSheetId="47">'Div 3'!$T$149</definedName>
    <definedName name="OSRRefT22_25x_0" localSheetId="2">Summary!$T$159:$T$161</definedName>
    <definedName name="OSRRefT22_26x_0" localSheetId="2">Summary!$T$163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'300'!$T$76</definedName>
    <definedName name="OSRRefT22_2x_0" localSheetId="49">'300 &amp; 317'!$T$82</definedName>
    <definedName name="OSRRefT22_2x_0" localSheetId="50">'301'!$T$43</definedName>
    <definedName name="OSRRefT22_2x_0" localSheetId="52">'307'!$T$54</definedName>
    <definedName name="OSRRefT22_2x_0" localSheetId="53">'308'!$T$57</definedName>
    <definedName name="OSRRefT22_2x_0" localSheetId="63">'309'!$T$24</definedName>
    <definedName name="OSRRefT22_2x_0" localSheetId="62">'310'!$T$48</definedName>
    <definedName name="OSRRefT22_2x_0" localSheetId="69">'310 &amp; 491'!$T$50</definedName>
    <definedName name="OSRRefT22_2x_0" localSheetId="54">'311'!$T$57</definedName>
    <definedName name="OSRRefT22_2x_0" localSheetId="57">'315'!$T$65</definedName>
    <definedName name="OSRRefT22_2x_0" localSheetId="59">'316'!$T$48</definedName>
    <definedName name="OSRRefT22_2x_0" localSheetId="61">'317'!$T$57</definedName>
    <definedName name="OSRRefT22_2x_0" localSheetId="64">'321'!$T$45</definedName>
    <definedName name="OSRRefT22_2x_0" localSheetId="65">'325'!$T$46</definedName>
    <definedName name="OSRRefT22_2x_0" localSheetId="66">'326'!$T$49</definedName>
    <definedName name="OSRRefT22_2x_0" localSheetId="51">'330'!$T$54</definedName>
    <definedName name="OSRRefT22_2x_0" localSheetId="56">'331'!$T$65</definedName>
    <definedName name="OSRRefT22_2x_0" localSheetId="58">'332'!$T$48</definedName>
    <definedName name="OSRRefT22_2x_0" localSheetId="71">'405'!$T$48</definedName>
    <definedName name="OSRRefT22_2x_0" localSheetId="73">'411'!$T$41</definedName>
    <definedName name="OSRRefT22_2x_0" localSheetId="74">'412'!$T$24</definedName>
    <definedName name="OSRRefT22_2x_0" localSheetId="75">'413'!$T$24</definedName>
    <definedName name="OSRRefT22_2x_0" localSheetId="76">'414'!$T$24</definedName>
    <definedName name="OSRRefT22_2x_0" localSheetId="77">'415'!$T$48</definedName>
    <definedName name="OSRRefT22_2x_0" localSheetId="78">'418'!$T$45</definedName>
    <definedName name="OSRRefT22_2x_0" localSheetId="79">'423'!$T$40</definedName>
    <definedName name="OSRRefT22_2x_0" localSheetId="80">'424'!$T$24</definedName>
    <definedName name="OSRRefT22_2x_0" localSheetId="81">'425'!$T$26</definedName>
    <definedName name="OSRRefT22_2x_0" localSheetId="83">'430'!$T$41</definedName>
    <definedName name="OSRRefT22_2x_0" localSheetId="84">'433'!$T$49</definedName>
    <definedName name="OSRRefT22_2x_0" localSheetId="85">'444'!$T$49</definedName>
    <definedName name="OSRRefT22_2x_0" localSheetId="86">'450'!$T$49</definedName>
    <definedName name="OSRRefT22_2x_0" localSheetId="70">'491'!$T$49</definedName>
    <definedName name="OSRRefT22_2x_0" localSheetId="82">'492'!$T$49</definedName>
    <definedName name="OSRRefT22_2x_0" localSheetId="88">'501'!$T$43</definedName>
    <definedName name="OSRRefT22_2x_0" localSheetId="39">'Div 2'!$T$43</definedName>
    <definedName name="OSRRefT22_2x_0" localSheetId="47">'Div 3'!$T$80</definedName>
    <definedName name="OSRRefT22_2x_0" localSheetId="68">'Div 4'!$T$51</definedName>
    <definedName name="OSRRefT22_2x_0" localSheetId="87">'Div 5'!$T$43</definedName>
    <definedName name="OSRRefT22_2x_0" localSheetId="60">'Div 6'!$T$57</definedName>
    <definedName name="OSRRefT22_2x_0" localSheetId="2">Summary!$T$88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'300'!$T$78</definedName>
    <definedName name="OSRRefT22_3x_0" localSheetId="49">'300 &amp; 317'!$T$84</definedName>
    <definedName name="OSRRefT22_3x_0" localSheetId="50">'301'!$T$45</definedName>
    <definedName name="OSRRefT22_3x_0" localSheetId="52">'307'!$T$56</definedName>
    <definedName name="OSRRefT22_3x_0" localSheetId="53">'308'!$T$59</definedName>
    <definedName name="OSRRefT22_3x_0" localSheetId="63">'309'!$T$26</definedName>
    <definedName name="OSRRefT22_3x_0" localSheetId="62">'310'!$T$50</definedName>
    <definedName name="OSRRefT22_3x_0" localSheetId="69">'310 &amp; 491'!$T$52</definedName>
    <definedName name="OSRRefT22_3x_0" localSheetId="54">'311'!$T$59</definedName>
    <definedName name="OSRRefT22_3x_0" localSheetId="57">'315'!$T$67</definedName>
    <definedName name="OSRRefT22_3x_0" localSheetId="59">'316'!$T$50</definedName>
    <definedName name="OSRRefT22_3x_0" localSheetId="61">'317'!$T$59</definedName>
    <definedName name="OSRRefT22_3x_0" localSheetId="64">'321'!$T$47</definedName>
    <definedName name="OSRRefT22_3x_0" localSheetId="65">'325'!$T$48</definedName>
    <definedName name="OSRRefT22_3x_0" localSheetId="66">'326'!$T$51</definedName>
    <definedName name="OSRRefT22_3x_0" localSheetId="51">'330'!$T$56</definedName>
    <definedName name="OSRRefT22_3x_0" localSheetId="56">'331'!$T$67</definedName>
    <definedName name="OSRRefT22_3x_0" localSheetId="58">'332'!$T$50</definedName>
    <definedName name="OSRRefT22_3x_0" localSheetId="71">'405'!$T$50</definedName>
    <definedName name="OSRRefT22_3x_0" localSheetId="73">'411'!$T$43:$T$44</definedName>
    <definedName name="OSRRefT22_3x_0" localSheetId="74">'412'!$T$26</definedName>
    <definedName name="OSRRefT22_3x_0" localSheetId="77">'415'!$T$50</definedName>
    <definedName name="OSRRefT22_3x_0" localSheetId="78">'418'!$T$47</definedName>
    <definedName name="OSRRefT22_3x_0" localSheetId="79">'423'!$T$42</definedName>
    <definedName name="OSRRefT22_3x_0" localSheetId="81">'425'!$T$28</definedName>
    <definedName name="OSRRefT22_3x_0" localSheetId="83">'430'!$T$43</definedName>
    <definedName name="OSRRefT22_3x_0" localSheetId="84">'433'!$T$51</definedName>
    <definedName name="OSRRefT22_3x_0" localSheetId="85">'444'!$T$51</definedName>
    <definedName name="OSRRefT22_3x_0" localSheetId="86">'450'!$T$51</definedName>
    <definedName name="OSRRefT22_3x_0" localSheetId="70">'491'!$T$51</definedName>
    <definedName name="OSRRefT22_3x_0" localSheetId="82">'492'!$T$51</definedName>
    <definedName name="OSRRefT22_3x_0" localSheetId="88">'501'!$T$45</definedName>
    <definedName name="OSRRefT22_3x_0" localSheetId="39">'Div 2'!$T$45</definedName>
    <definedName name="OSRRefT22_3x_0" localSheetId="47">'Div 3'!$T$82</definedName>
    <definedName name="OSRRefT22_3x_0" localSheetId="68">'Div 4'!$T$53</definedName>
    <definedName name="OSRRefT22_3x_0" localSheetId="87">'Div 5'!$T$45</definedName>
    <definedName name="OSRRefT22_3x_0" localSheetId="60">'Div 6'!$T$59</definedName>
    <definedName name="OSRRefT22_3x_0" localSheetId="2">Summary!$T$90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'205'!$T$45:$T$46</definedName>
    <definedName name="OSRRefT22_4x_0" localSheetId="46">'206'!$T$45:$T$46</definedName>
    <definedName name="OSRRefT22_4x_0" localSheetId="48">'300'!$T$80</definedName>
    <definedName name="OSRRefT22_4x_0" localSheetId="49">'300 &amp; 317'!$T$86</definedName>
    <definedName name="OSRRefT22_4x_0" localSheetId="50">'301'!$T$47</definedName>
    <definedName name="OSRRefT22_4x_0" localSheetId="52">'307'!$T$58</definedName>
    <definedName name="OSRRefT22_4x_0" localSheetId="53">'308'!$T$61</definedName>
    <definedName name="OSRRefT22_4x_0" localSheetId="63">'309'!$T$28:$T$29</definedName>
    <definedName name="OSRRefT22_4x_0" localSheetId="62">'310'!$T$52</definedName>
    <definedName name="OSRRefT22_4x_0" localSheetId="69">'310 &amp; 491'!$T$54</definedName>
    <definedName name="OSRRefT22_4x_0" localSheetId="54">'311'!$T$61</definedName>
    <definedName name="OSRRefT22_4x_0" localSheetId="57">'315'!$T$69</definedName>
    <definedName name="OSRRefT22_4x_0" localSheetId="59">'316'!$T$52</definedName>
    <definedName name="OSRRefT22_4x_0" localSheetId="61">'317'!$T$61</definedName>
    <definedName name="OSRRefT22_4x_0" localSheetId="64">'321'!$T$49</definedName>
    <definedName name="OSRRefT22_4x_0" localSheetId="65">'325'!$T$50</definedName>
    <definedName name="OSRRefT22_4x_0" localSheetId="66">'326'!$T$53</definedName>
    <definedName name="OSRRefT22_4x_0" localSheetId="51">'330'!$T$58</definedName>
    <definedName name="OSRRefT22_4x_0" localSheetId="56">'331'!$T$69</definedName>
    <definedName name="OSRRefT22_4x_0" localSheetId="58">'332'!$T$52</definedName>
    <definedName name="OSRRefT22_4x_0" localSheetId="71">'405'!$T$52</definedName>
    <definedName name="OSRRefT22_4x_0" localSheetId="73">'411'!$T$46</definedName>
    <definedName name="OSRRefT22_4x_0" localSheetId="77">'415'!$T$52</definedName>
    <definedName name="OSRRefT22_4x_0" localSheetId="78">'418'!$T$49:$T$50</definedName>
    <definedName name="OSRRefT22_4x_0" localSheetId="79">'423'!$T$44</definedName>
    <definedName name="OSRRefT22_4x_0" localSheetId="81">'425'!$T$30</definedName>
    <definedName name="OSRRefT22_4x_0" localSheetId="83">'430'!$T$45</definedName>
    <definedName name="OSRRefT22_4x_0" localSheetId="84">'433'!$T$53</definedName>
    <definedName name="OSRRefT22_4x_0" localSheetId="85">'444'!$T$53</definedName>
    <definedName name="OSRRefT22_4x_0" localSheetId="86">'450'!$T$53</definedName>
    <definedName name="OSRRefT22_4x_0" localSheetId="70">'491'!$T$53</definedName>
    <definedName name="OSRRefT22_4x_0" localSheetId="82">'492'!$T$53</definedName>
    <definedName name="OSRRefT22_4x_0" localSheetId="88">'501'!$T$47</definedName>
    <definedName name="OSRRefT22_4x_0" localSheetId="39">'Div 2'!$T$47</definedName>
    <definedName name="OSRRefT22_4x_0" localSheetId="47">'Div 3'!$T$84</definedName>
    <definedName name="OSRRefT22_4x_0" localSheetId="68">'Div 4'!$T$55</definedName>
    <definedName name="OSRRefT22_4x_0" localSheetId="87">'Div 5'!$T$47</definedName>
    <definedName name="OSRRefT22_4x_0" localSheetId="60">'Div 6'!$T$61</definedName>
    <definedName name="OSRRefT22_4x_0" localSheetId="2">Summary!$T$92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'204'!$T$48:$T$51</definedName>
    <definedName name="OSRRefT22_5x_0" localSheetId="45">'205'!$T$48</definedName>
    <definedName name="OSRRefT22_5x_0" localSheetId="46">'206'!$T$48</definedName>
    <definedName name="OSRRefT22_5x_0" localSheetId="48">'300'!$T$82:$T$83</definedName>
    <definedName name="OSRRefT22_5x_0" localSheetId="49">'300 &amp; 317'!$T$88:$T$89</definedName>
    <definedName name="OSRRefT22_5x_0" localSheetId="50">'301'!$T$49:$T$50</definedName>
    <definedName name="OSRRefT22_5x_0" localSheetId="52">'307'!$T$60:$T$61</definedName>
    <definedName name="OSRRefT22_5x_0" localSheetId="53">'308'!$T$63</definedName>
    <definedName name="OSRRefT22_5x_0" localSheetId="63">'309'!$T$31</definedName>
    <definedName name="OSRRefT22_5x_0" localSheetId="62">'310'!$T$54:$T$55</definedName>
    <definedName name="OSRRefT22_5x_0" localSheetId="69">'310 &amp; 491'!$T$56:$T$57</definedName>
    <definedName name="OSRRefT22_5x_0" localSheetId="54">'311'!$T$63</definedName>
    <definedName name="OSRRefT22_5x_0" localSheetId="57">'315'!$T$71</definedName>
    <definedName name="OSRRefT22_5x_0" localSheetId="59">'316'!$T$54:$T$55</definedName>
    <definedName name="OSRRefT22_5x_0" localSheetId="61">'317'!$T$63</definedName>
    <definedName name="OSRRefT22_5x_0" localSheetId="64">'321'!$T$51</definedName>
    <definedName name="OSRRefT22_5x_0" localSheetId="65">'325'!$T$52:$T$53</definedName>
    <definedName name="OSRRefT22_5x_0" localSheetId="66">'326'!$T$55</definedName>
    <definedName name="OSRRefT22_5x_0" localSheetId="51">'330'!$T$60:$T$61</definedName>
    <definedName name="OSRRefT22_5x_0" localSheetId="56">'331'!$T$71</definedName>
    <definedName name="OSRRefT22_5x_0" localSheetId="58">'332'!$T$54:$T$55</definedName>
    <definedName name="OSRRefT22_5x_0" localSheetId="71">'405'!$T$54:$T$55</definedName>
    <definedName name="OSRRefT22_5x_0" localSheetId="73">'411'!$T$48</definedName>
    <definedName name="OSRRefT22_5x_0" localSheetId="77">'415'!$T$54:$T$55</definedName>
    <definedName name="OSRRefT22_5x_0" localSheetId="78">'418'!$T$52</definedName>
    <definedName name="OSRRefT22_5x_0" localSheetId="79">'423'!$T$46</definedName>
    <definedName name="OSRRefT22_5x_0" localSheetId="81">'425'!$T$32</definedName>
    <definedName name="OSRRefT22_5x_0" localSheetId="83">'430'!$T$47:$T$48</definedName>
    <definedName name="OSRRefT22_5x_0" localSheetId="84">'433'!$T$55</definedName>
    <definedName name="OSRRefT22_5x_0" localSheetId="85">'444'!$T$55</definedName>
    <definedName name="OSRRefT22_5x_0" localSheetId="86">'450'!$T$55</definedName>
    <definedName name="OSRRefT22_5x_0" localSheetId="70">'491'!$T$55:$T$56</definedName>
    <definedName name="OSRRefT22_5x_0" localSheetId="82">'492'!$T$55</definedName>
    <definedName name="OSRRefT22_5x_0" localSheetId="88">'501'!$T$49:$T$50</definedName>
    <definedName name="OSRRefT22_5x_0" localSheetId="39">'Div 2'!$T$49:$T$50</definedName>
    <definedName name="OSRRefT22_5x_0" localSheetId="47">'Div 3'!$T$86:$T$87</definedName>
    <definedName name="OSRRefT22_5x_0" localSheetId="68">'Div 4'!$T$57:$T$58</definedName>
    <definedName name="OSRRefT22_5x_0" localSheetId="87">'Div 5'!$T$49:$T$50</definedName>
    <definedName name="OSRRefT22_5x_0" localSheetId="60">'Div 6'!$T$63</definedName>
    <definedName name="OSRRefT22_5x_0" localSheetId="2">Summary!$T$94:$T$95</definedName>
    <definedName name="OSRRefT22_6x_0" localSheetId="41">'201'!$T$49</definedName>
    <definedName name="OSRRefT22_6x_0" localSheetId="42">'202'!$T$49</definedName>
    <definedName name="OSRRefT22_6x_0" localSheetId="43">'203'!$T$50</definedName>
    <definedName name="OSRRefT22_6x_0" localSheetId="44">'204'!$T$53</definedName>
    <definedName name="OSRRefT22_6x_0" localSheetId="45">'205'!$T$50:$T$52</definedName>
    <definedName name="OSRRefT22_6x_0" localSheetId="46">'206'!$T$50:$T$51</definedName>
    <definedName name="OSRRefT22_6x_0" localSheetId="48">'300'!$T$85:$T$86</definedName>
    <definedName name="OSRRefT22_6x_0" localSheetId="49">'300 &amp; 317'!$T$91:$T$92</definedName>
    <definedName name="OSRRefT22_6x_0" localSheetId="50">'301'!$T$52:$T$53</definedName>
    <definedName name="OSRRefT22_6x_0" localSheetId="52">'307'!$T$63</definedName>
    <definedName name="OSRRefT22_6x_0" localSheetId="53">'308'!$T$65</definedName>
    <definedName name="OSRRefT22_6x_0" localSheetId="63">'309'!$T$33</definedName>
    <definedName name="OSRRefT22_6x_0" localSheetId="62">'310'!$T$57</definedName>
    <definedName name="OSRRefT22_6x_0" localSheetId="69">'310 &amp; 491'!$T$59</definedName>
    <definedName name="OSRRefT22_6x_0" localSheetId="54">'311'!$T$65</definedName>
    <definedName name="OSRRefT22_6x_0" localSheetId="57">'315'!$T$73</definedName>
    <definedName name="OSRRefT22_6x_0" localSheetId="59">'316'!$T$57</definedName>
    <definedName name="OSRRefT22_6x_0" localSheetId="61">'317'!$T$65</definedName>
    <definedName name="OSRRefT22_6x_0" localSheetId="64">'321'!$T$53:$T$54</definedName>
    <definedName name="OSRRefT22_6x_0" localSheetId="65">'325'!$T$55</definedName>
    <definedName name="OSRRefT22_6x_0" localSheetId="66">'326'!$T$57:$T$58</definedName>
    <definedName name="OSRRefT22_6x_0" localSheetId="51">'330'!$T$63</definedName>
    <definedName name="OSRRefT22_6x_0" localSheetId="56">'331'!$T$73</definedName>
    <definedName name="OSRRefT22_6x_0" localSheetId="58">'332'!$T$57</definedName>
    <definedName name="OSRRefT22_6x_0" localSheetId="71">'405'!$T$57</definedName>
    <definedName name="OSRRefT22_6x_0" localSheetId="73">'411'!$T$50</definedName>
    <definedName name="OSRRefT22_6x_0" localSheetId="77">'415'!$T$57</definedName>
    <definedName name="OSRRefT22_6x_0" localSheetId="78">'418'!$T$54</definedName>
    <definedName name="OSRRefT22_6x_0" localSheetId="83">'430'!$T$50:$T$51</definedName>
    <definedName name="OSRRefT22_6x_0" localSheetId="84">'433'!$T$57</definedName>
    <definedName name="OSRRefT22_6x_0" localSheetId="85">'444'!$T$57</definedName>
    <definedName name="OSRRefT22_6x_0" localSheetId="86">'450'!$T$57</definedName>
    <definedName name="OSRRefT22_6x_0" localSheetId="70">'491'!$T$58</definedName>
    <definedName name="OSRRefT22_6x_0" localSheetId="82">'492'!$T$57</definedName>
    <definedName name="OSRRefT22_6x_0" localSheetId="88">'501'!$T$52</definedName>
    <definedName name="OSRRefT22_6x_0" localSheetId="39">'Div 2'!$T$52</definedName>
    <definedName name="OSRRefT22_6x_0" localSheetId="47">'Div 3'!$T$89:$T$90</definedName>
    <definedName name="OSRRefT22_6x_0" localSheetId="68">'Div 4'!$T$60</definedName>
    <definedName name="OSRRefT22_6x_0" localSheetId="87">'Div 5'!$T$52</definedName>
    <definedName name="OSRRefT22_6x_0" localSheetId="60">'Div 6'!$T$65</definedName>
    <definedName name="OSRRefT22_6x_0" localSheetId="2">Summary!$T$97:$T$98</definedName>
    <definedName name="OSRRefT22_7x_0" localSheetId="41">'201'!$T$51</definedName>
    <definedName name="OSRRefT22_7x_0" localSheetId="42">'202'!$T$51:$T$53</definedName>
    <definedName name="OSRRefT22_7x_0" localSheetId="43">'203'!$T$52</definedName>
    <definedName name="OSRRefT22_7x_0" localSheetId="44">'204'!$T$55</definedName>
    <definedName name="OSRRefT22_7x_0" localSheetId="45">'205'!$T$54</definedName>
    <definedName name="OSRRefT22_7x_0" localSheetId="46">'206'!$T$53</definedName>
    <definedName name="OSRRefT22_7x_0" localSheetId="48">'300'!$T$88</definedName>
    <definedName name="OSRRefT22_7x_0" localSheetId="49">'300 &amp; 317'!$T$94</definedName>
    <definedName name="OSRRefT22_7x_0" localSheetId="50">'301'!$T$55</definedName>
    <definedName name="OSRRefT22_7x_0" localSheetId="52">'307'!$T$65</definedName>
    <definedName name="OSRRefT22_7x_0" localSheetId="53">'308'!$T$67</definedName>
    <definedName name="OSRRefT22_7x_0" localSheetId="62">'310'!$T$59</definedName>
    <definedName name="OSRRefT22_7x_0" localSheetId="69">'310 &amp; 491'!$T$61</definedName>
    <definedName name="OSRRefT22_7x_0" localSheetId="54">'311'!$T$67</definedName>
    <definedName name="OSRRefT22_7x_0" localSheetId="57">'315'!$T$75</definedName>
    <definedName name="OSRRefT22_7x_0" localSheetId="59">'316'!$T$59:$T$61</definedName>
    <definedName name="OSRRefT22_7x_0" localSheetId="61">'317'!$T$67</definedName>
    <definedName name="OSRRefT22_7x_0" localSheetId="64">'321'!$T$56</definedName>
    <definedName name="OSRRefT22_7x_0" localSheetId="65">'325'!$T$57</definedName>
    <definedName name="OSRRefT22_7x_0" localSheetId="66">'326'!$T$60</definedName>
    <definedName name="OSRRefT22_7x_0" localSheetId="51">'330'!$T$65</definedName>
    <definedName name="OSRRefT22_7x_0" localSheetId="56">'331'!$T$75</definedName>
    <definedName name="OSRRefT22_7x_0" localSheetId="58">'332'!$T$59:$T$61</definedName>
    <definedName name="OSRRefT22_7x_0" localSheetId="71">'405'!$T$59</definedName>
    <definedName name="OSRRefT22_7x_0" localSheetId="73">'411'!$T$52</definedName>
    <definedName name="OSRRefT22_7x_0" localSheetId="77">'415'!$T$59</definedName>
    <definedName name="OSRRefT22_7x_0" localSheetId="78">'418'!$T$56</definedName>
    <definedName name="OSRRefT22_7x_0" localSheetId="83">'430'!$T$53</definedName>
    <definedName name="OSRRefT22_7x_0" localSheetId="84">'433'!$T$59</definedName>
    <definedName name="OSRRefT22_7x_0" localSheetId="85">'444'!$T$59</definedName>
    <definedName name="OSRRefT22_7x_0" localSheetId="86">'450'!$T$59</definedName>
    <definedName name="OSRRefT22_7x_0" localSheetId="70">'491'!$T$60</definedName>
    <definedName name="OSRRefT22_7x_0" localSheetId="82">'492'!$T$59</definedName>
    <definedName name="OSRRefT22_7x_0" localSheetId="88">'501'!$T$54</definedName>
    <definedName name="OSRRefT22_7x_0" localSheetId="39">'Div 2'!$T$54</definedName>
    <definedName name="OSRRefT22_7x_0" localSheetId="47">'Div 3'!$T$92</definedName>
    <definedName name="OSRRefT22_7x_0" localSheetId="68">'Div 4'!$T$62</definedName>
    <definedName name="OSRRefT22_7x_0" localSheetId="87">'Div 5'!$T$54</definedName>
    <definedName name="OSRRefT22_7x_0" localSheetId="60">'Div 6'!$T$67</definedName>
    <definedName name="OSRRefT22_7x_0" localSheetId="2">Summary!$T$100</definedName>
    <definedName name="OSRRefT22_8x_0" localSheetId="41">'201'!$T$53</definedName>
    <definedName name="OSRRefT22_8x_0" localSheetId="42">'202'!$T$55</definedName>
    <definedName name="OSRRefT22_8x_0" localSheetId="43">'203'!$T$54:$T$56</definedName>
    <definedName name="OSRRefT22_8x_0" localSheetId="44">'204'!$T$57:$T$58</definedName>
    <definedName name="OSRRefT22_8x_0" localSheetId="48">'300'!$T$90</definedName>
    <definedName name="OSRRefT22_8x_0" localSheetId="49">'300 &amp; 317'!$T$96</definedName>
    <definedName name="OSRRefT22_8x_0" localSheetId="50">'301'!$T$57</definedName>
    <definedName name="OSRRefT22_8x_0" localSheetId="52">'307'!$T$67</definedName>
    <definedName name="OSRRefT22_8x_0" localSheetId="53">'308'!$T$69:$T$71</definedName>
    <definedName name="OSRRefT22_8x_0" localSheetId="62">'310'!$T$61</definedName>
    <definedName name="OSRRefT22_8x_0" localSheetId="69">'310 &amp; 491'!$T$63</definedName>
    <definedName name="OSRRefT22_8x_0" localSheetId="54">'311'!$T$69:$T$71</definedName>
    <definedName name="OSRRefT22_8x_0" localSheetId="57">'315'!$T$77:$T$78</definedName>
    <definedName name="OSRRefT22_8x_0" localSheetId="59">'316'!$T$63</definedName>
    <definedName name="OSRRefT22_8x_0" localSheetId="61">'317'!$T$69:$T$70</definedName>
    <definedName name="OSRRefT22_8x_0" localSheetId="64">'321'!$T$58:$T$59</definedName>
    <definedName name="OSRRefT22_8x_0" localSheetId="65">'325'!$T$59</definedName>
    <definedName name="OSRRefT22_8x_0" localSheetId="66">'326'!$T$62</definedName>
    <definedName name="OSRRefT22_8x_0" localSheetId="51">'330'!$T$67</definedName>
    <definedName name="OSRRefT22_8x_0" localSheetId="56">'331'!$T$77:$T$78</definedName>
    <definedName name="OSRRefT22_8x_0" localSheetId="58">'332'!$T$63</definedName>
    <definedName name="OSRRefT22_8x_0" localSheetId="71">'405'!$T$61</definedName>
    <definedName name="OSRRefT22_8x_0" localSheetId="73">'411'!$T$54:$T$56</definedName>
    <definedName name="OSRRefT22_8x_0" localSheetId="77">'415'!$T$61</definedName>
    <definedName name="OSRRefT22_8x_0" localSheetId="78">'418'!$T$58:$T$59</definedName>
    <definedName name="OSRRefT22_8x_0" localSheetId="83">'430'!$T$55</definedName>
    <definedName name="OSRRefT22_8x_0" localSheetId="84">'433'!$T$61</definedName>
    <definedName name="OSRRefT22_8x_0" localSheetId="85">'444'!$T$61</definedName>
    <definedName name="OSRRefT22_8x_0" localSheetId="86">'450'!$T$61</definedName>
    <definedName name="OSRRefT22_8x_0" localSheetId="70">'491'!$T$62</definedName>
    <definedName name="OSRRefT22_8x_0" localSheetId="82">'492'!$T$61</definedName>
    <definedName name="OSRRefT22_8x_0" localSheetId="88">'501'!$T$56</definedName>
    <definedName name="OSRRefT22_8x_0" localSheetId="39">'Div 2'!$T$56</definedName>
    <definedName name="OSRRefT22_8x_0" localSheetId="47">'Div 3'!$T$94</definedName>
    <definedName name="OSRRefT22_8x_0" localSheetId="68">'Div 4'!$T$64</definedName>
    <definedName name="OSRRefT22_8x_0" localSheetId="87">'Div 5'!$T$56</definedName>
    <definedName name="OSRRefT22_8x_0" localSheetId="60">'Div 6'!$T$69:$T$70</definedName>
    <definedName name="OSRRefT22_8x_0" localSheetId="2">Summary!$T$102</definedName>
    <definedName name="OSRRefT22_9x_0" localSheetId="41">'201'!$T$55:$T$57</definedName>
    <definedName name="OSRRefT22_9x_0" localSheetId="42">'202'!$T$57</definedName>
    <definedName name="OSRRefT22_9x_0" localSheetId="43">'203'!$T$58:$T$59</definedName>
    <definedName name="OSRRefT22_9x_0" localSheetId="44">'204'!$T$60</definedName>
    <definedName name="OSRRefT22_9x_0" localSheetId="48">'300'!$T$92</definedName>
    <definedName name="OSRRefT22_9x_0" localSheetId="49">'300 &amp; 317'!$T$98</definedName>
    <definedName name="OSRRefT22_9x_0" localSheetId="50">'301'!$T$59</definedName>
    <definedName name="OSRRefT22_9x_0" localSheetId="52">'307'!$T$69:$T$70</definedName>
    <definedName name="OSRRefT22_9x_0" localSheetId="53">'308'!$T$73</definedName>
    <definedName name="OSRRefT22_9x_0" localSheetId="62">'310'!$T$63</definedName>
    <definedName name="OSRRefT22_9x_0" localSheetId="69">'310 &amp; 491'!$T$65</definedName>
    <definedName name="OSRRefT22_9x_0" localSheetId="54">'311'!$T$73</definedName>
    <definedName name="OSRRefT22_9x_0" localSheetId="57">'315'!$T$80</definedName>
    <definedName name="OSRRefT22_9x_0" localSheetId="59">'316'!$T$65:$T$68</definedName>
    <definedName name="OSRRefT22_9x_0" localSheetId="61">'317'!$T$72</definedName>
    <definedName name="OSRRefT22_9x_0" localSheetId="64">'321'!$T$61:$T$64</definedName>
    <definedName name="OSRRefT22_9x_0" localSheetId="65">'325'!$T$61</definedName>
    <definedName name="OSRRefT22_9x_0" localSheetId="66">'326'!$T$64</definedName>
    <definedName name="OSRRefT22_9x_0" localSheetId="51">'330'!$T$69:$T$70</definedName>
    <definedName name="OSRRefT22_9x_0" localSheetId="56">'331'!$T$80:$T$81</definedName>
    <definedName name="OSRRefT22_9x_0" localSheetId="58">'332'!$T$65:$T$68</definedName>
    <definedName name="OSRRefT22_9x_0" localSheetId="71">'405'!$T$63:$T$64</definedName>
    <definedName name="OSRRefT22_9x_0" localSheetId="73">'411'!$T$58:$T$60</definedName>
    <definedName name="OSRRefT22_9x_0" localSheetId="77">'415'!$T$63</definedName>
    <definedName name="OSRRefT22_9x_0" localSheetId="78">'418'!$T$61:$T$64</definedName>
    <definedName name="OSRRefT22_9x_0" localSheetId="84">'433'!$T$63</definedName>
    <definedName name="OSRRefT22_9x_0" localSheetId="85">'444'!$T$63</definedName>
    <definedName name="OSRRefT22_9x_0" localSheetId="86">'450'!$T$63</definedName>
    <definedName name="OSRRefT22_9x_0" localSheetId="70">'491'!$T$64</definedName>
    <definedName name="OSRRefT22_9x_0" localSheetId="82">'492'!$T$63</definedName>
    <definedName name="OSRRefT22_9x_0" localSheetId="88">'501'!$T$58:$T$60</definedName>
    <definedName name="OSRRefT22_9x_0" localSheetId="39">'Div 2'!$T$58</definedName>
    <definedName name="OSRRefT22_9x_0" localSheetId="47">'Div 3'!$T$96</definedName>
    <definedName name="OSRRefT22_9x_0" localSheetId="68">'Div 4'!$T$66</definedName>
    <definedName name="OSRRefT22_9x_0" localSheetId="87">'Div 5'!$T$58:$T$60</definedName>
    <definedName name="OSRRefT22_9x_0" localSheetId="60">'Div 6'!$T$72</definedName>
    <definedName name="OSRRefT22_9x_0" localSheetId="2">Summary!$T$104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'201'!$T$20:$T$28,'201'!$T$30:$T$39,'201'!$T$41,'201'!$T$43,'201'!$T$45,'201'!$T$47,'201'!$T$49,'201'!$T$51,'201'!$T$53,'201'!$T$55:$T$57,'201'!$T$59:$T$60,'201'!$T$62,'201'!$T$64:$T$65,'201'!$T$67,'201'!$T$69,'201'!$T$71</definedName>
    <definedName name="OSRRefT22x_0" localSheetId="42">'202'!$T$20:$T$28,'202'!$T$30:$T$39,'202'!$T$41,'202'!$T$43,'202'!$T$45,'202'!$T$47,'202'!$T$49,'202'!$T$51:$T$53,'202'!$T$55,'202'!$T$57,'202'!$T$59,'202'!$T$61,'202'!$T$63</definedName>
    <definedName name="OSRRefT22x_0" localSheetId="43">'203'!$T$20:$T$29,'203'!$T$31:$T$40,'203'!$T$42,'203'!$T$44,'203'!$T$46,'203'!$T$48,'203'!$T$50,'203'!$T$52,'203'!$T$54:$T$56,'203'!$T$58:$T$59,'203'!$T$61,'203'!$T$63:$T$66,'203'!$T$68,'203'!$T$70,'203'!$T$72</definedName>
    <definedName name="OSRRefT22x_0" localSheetId="44">'204'!$T$20:$T$28,'204'!$T$30:$T$39,'204'!$T$41,'204'!$T$43:$T$44,'204'!$T$46,'204'!$T$48:$T$51,'204'!$T$53,'204'!$T$55,'204'!$T$57:$T$58,'204'!$T$60,'204'!$T$62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'206'!$T$20:$T$28,'206'!$T$30:$T$39,'206'!$T$41,'206'!$T$43,'206'!$T$45:$T$46,'206'!$T$48,'206'!$T$50:$T$51,'206'!$T$53</definedName>
    <definedName name="OSRRefT22x_0" localSheetId="48">'300'!$T$54:$T$63,'300'!$T$65:$T$74,'300'!$T$76,'300'!$T$78,'300'!$T$80,'300'!$T$82:$T$83,'300'!$T$85:$T$86,'300'!$T$88,'300'!$T$90,'300'!$T$92,'300'!$T$94:$T$95,'300'!$T$97:$T$98,'300'!$T$100,'300'!$T$102,'300'!$T$104,'300'!$T$106,'300'!$T$108:$T$111,'300'!$T$113:$T$116,'300'!$T$118:$T$120,'300'!$T$122:$T$123,'300'!$T$125:$T$131,'300'!$T$133:$T$134,'300'!$T$136,'300'!$T$138:$T$140,'300'!$T$142</definedName>
    <definedName name="OSRRefT22x_0" localSheetId="49">'300 &amp; 317'!$T$60:$T$69,'300 &amp; 317'!$T$71:$T$80,'300 &amp; 317'!$T$82,'300 &amp; 317'!$T$84,'300 &amp; 317'!$T$86,'300 &amp; 317'!$T$88:$T$89,'300 &amp; 317'!$T$91:$T$92,'300 &amp; 317'!$T$94,'300 &amp; 317'!$T$96,'300 &amp; 317'!$T$98,'300 &amp; 317'!$T$100:$T$101,'300 &amp; 317'!$T$103:$T$104,'300 &amp; 317'!$T$106,'300 &amp; 317'!$T$108,'300 &amp; 317'!$T$110,'300 &amp; 317'!$T$112,'300 &amp; 317'!$T$114:$T$117,'300 &amp; 317'!$T$119:$T$122,'300 &amp; 317'!$T$124:$T$126,'300 &amp; 317'!$T$128:$T$129,'300 &amp; 317'!$T$131:$T$137,'300 &amp; 317'!$T$139:$T$140,'300 &amp; 317'!$T$142,'300 &amp; 317'!$T$144:$T$146,'300 &amp; 317'!$T$148</definedName>
    <definedName name="OSRRefT22x_0" localSheetId="50">'301'!$T$21:$T$30,'301'!$T$32:$T$41,'301'!$T$43,'301'!$T$45,'301'!$T$47,'301'!$T$49:$T$50,'301'!$T$52:$T$53,'301'!$T$55,'301'!$T$57,'301'!$T$59,'301'!$T$61,'301'!$T$63,'301'!$T$65,'301'!$T$67,'301'!$T$69,'301'!$T$71:$T$74,'301'!$T$76:$T$77,'301'!$T$79,'301'!$T$81:$T$86,'301'!$T$88,'301'!$T$90,'301'!$T$92:$T$93,'301'!$T$95</definedName>
    <definedName name="OSRRefT22x_0" localSheetId="52">'307'!$T$34:$T$41,'307'!$T$43:$T$52,'307'!$T$54,'307'!$T$56,'307'!$T$58,'307'!$T$60:$T$61,'307'!$T$63,'307'!$T$65,'307'!$T$67,'307'!$T$69:$T$70,'307'!$T$72:$T$73,'307'!$T$75:$T$78,'307'!$T$80</definedName>
    <definedName name="OSRRefT22x_0" localSheetId="53">'308'!$T$35:$T$44,'308'!$T$46:$T$55,'308'!$T$57,'308'!$T$59,'308'!$T$61,'308'!$T$63,'308'!$T$65,'308'!$T$67,'308'!$T$69:$T$71,'308'!$T$73,'308'!$T$75:$T$76,'308'!$T$78:$T$79,'308'!$T$81</definedName>
    <definedName name="OSRRefT22x_0" localSheetId="63">'309'!$T$20,'309'!$T$22,'309'!$T$24,'309'!$T$26,'309'!$T$28:$T$29,'309'!$T$31,'309'!$T$33</definedName>
    <definedName name="OSRRefT22x_0" localSheetId="62">'310'!$T$27:$T$35,'310'!$T$37:$T$46,'310'!$T$48,'310'!$T$50,'310'!$T$52,'310'!$T$54:$T$55,'310'!$T$57,'310'!$T$59,'310'!$T$61,'310'!$T$63,'310'!$T$65,'310'!$T$67:$T$69,'310'!$T$71,'310'!$T$73:$T$75,'310'!$T$77:$T$81,'310'!$T$83:$T$84,'310'!$T$86,'310'!$T$88</definedName>
    <definedName name="OSRRefT22x_0" localSheetId="69">'310 &amp; 491'!$T$29:$T$37,'310 &amp; 491'!$T$39:$T$48,'310 &amp; 491'!$T$50,'310 &amp; 491'!$T$52,'310 &amp; 491'!$T$54,'310 &amp; 491'!$T$56:$T$57,'310 &amp; 491'!$T$59,'310 &amp; 491'!$T$61,'310 &amp; 491'!$T$63,'310 &amp; 491'!$T$65,'310 &amp; 491'!$T$67,'310 &amp; 491'!$T$69,'310 &amp; 491'!$T$71:$T$73,'310 &amp; 491'!$T$75:$T$76,'310 &amp; 491'!$T$78:$T$82,'310 &amp; 491'!$T$84,'310 &amp; 491'!$T$86:$T$95,'310 &amp; 491'!$T$97:$T$98,'310 &amp; 491'!$T$100,'310 &amp; 491'!$T$102,'310 &amp; 491'!$T$104</definedName>
    <definedName name="OSRRefT22x_0" localSheetId="54">'311'!$T$35:$T$44,'311'!$T$46:$T$55,'311'!$T$57,'311'!$T$59,'311'!$T$61,'311'!$T$63,'311'!$T$65,'311'!$T$67,'311'!$T$69:$T$71,'311'!$T$73,'311'!$T$75:$T$76,'311'!$T$78:$T$79,'311'!$T$81</definedName>
    <definedName name="OSRRefT22x_0" localSheetId="57">'315'!$T$44:$T$52,'315'!$T$54:$T$63,'315'!$T$65,'315'!$T$67,'315'!$T$69,'315'!$T$71,'315'!$T$73,'315'!$T$75,'315'!$T$77:$T$78,'315'!$T$80,'315'!$T$82,'315'!$T$84,'315'!$T$86:$T$87,'315'!$T$89:$T$91,'315'!$T$93:$T$94,'315'!$T$96:$T$99,'315'!$T$101,'315'!$T$103</definedName>
    <definedName name="OSRRefT22x_0" localSheetId="59">'316'!$T$27:$T$35,'316'!$T$37:$T$46,'316'!$T$48,'316'!$T$50,'316'!$T$52,'316'!$T$54:$T$55,'316'!$T$57,'316'!$T$59:$T$61,'316'!$T$63,'316'!$T$65:$T$68,'316'!$T$70</definedName>
    <definedName name="OSRRefT22x_0" localSheetId="61">'317'!$T$35:$T$44,'317'!$T$46:$T$55,'317'!$T$57,'317'!$T$59,'317'!$T$61,'317'!$T$63,'317'!$T$65,'317'!$T$67,'317'!$T$69:$T$70,'317'!$T$72</definedName>
    <definedName name="OSRRefT22x_0" localSheetId="64">'321'!$T$24:$T$32,'321'!$T$34:$T$43,'321'!$T$45,'321'!$T$47,'321'!$T$49,'321'!$T$51,'321'!$T$53:$T$54,'321'!$T$56,'321'!$T$58:$T$59,'321'!$T$61:$T$64,'321'!$T$66,'321'!$T$68</definedName>
    <definedName name="OSRRefT22x_0" localSheetId="65">'325'!$T$25:$T$33,'325'!$T$35:$T$44,'325'!$T$46,'325'!$T$48,'325'!$T$50,'325'!$T$52:$T$53,'325'!$T$55,'325'!$T$57,'325'!$T$59,'325'!$T$61,'325'!$T$63,'325'!$T$65:$T$67,'325'!$T$69:$T$71,'325'!$T$73:$T$77,'325'!$T$79:$T$80,'325'!$T$82</definedName>
    <definedName name="OSRRefT22x_0" localSheetId="66">'326'!$T$28:$T$36,'326'!$T$38:$T$47,'326'!$T$49,'326'!$T$51,'326'!$T$53,'326'!$T$55,'326'!$T$57:$T$58,'326'!$T$60,'326'!$T$62,'326'!$T$64,'326'!$T$66,'326'!$T$68:$T$69,'326'!$T$71:$T$72,'326'!$T$74:$T$75,'326'!$T$77:$T$79,'326'!$T$81,'326'!$T$83:$T$84,'326'!$T$86</definedName>
    <definedName name="OSRRefT22x_0" localSheetId="67">'327'!$T$26</definedName>
    <definedName name="OSRRefT22x_0" localSheetId="51">'330'!$T$34:$T$41,'330'!$T$43:$T$52,'330'!$T$54,'330'!$T$56,'330'!$T$58,'330'!$T$60:$T$61,'330'!$T$63,'330'!$T$65,'330'!$T$67,'330'!$T$69:$T$70,'330'!$T$72:$T$73,'330'!$T$75:$T$78,'330'!$T$80</definedName>
    <definedName name="OSRRefT22x_0" localSheetId="56">'331'!$T$44:$T$52,'331'!$T$54:$T$63,'331'!$T$65,'331'!$T$67,'331'!$T$69,'331'!$T$71,'331'!$T$73,'331'!$T$75,'331'!$T$77:$T$78,'331'!$T$80:$T$81,'331'!$T$83,'331'!$T$85,'331'!$T$87,'331'!$T$89,'331'!$T$91:$T$92,'331'!$T$94:$T$96,'331'!$T$98:$T$99,'331'!$T$101:$T$102,'331'!$T$104:$T$108,'331'!$T$110,'331'!$T$112:$T$113,'331'!$T$115</definedName>
    <definedName name="OSRRefT22x_0" localSheetId="58">'332'!$T$27:$T$35,'332'!$T$37:$T$46,'332'!$T$48,'332'!$T$50,'332'!$T$52,'332'!$T$54:$T$55,'332'!$T$57,'332'!$T$59:$T$61,'332'!$T$63,'332'!$T$65:$T$68,'332'!$T$70</definedName>
    <definedName name="OSRRefT22x_0" localSheetId="71">'405'!$T$27:$T$35,'405'!$T$37:$T$46,'405'!$T$48,'405'!$T$50,'405'!$T$52,'405'!$T$54:$T$55,'405'!$T$57,'405'!$T$59,'405'!$T$61,'405'!$T$63:$T$64,'405'!$T$66:$T$69,'405'!$T$71,'405'!$T$73:$T$80,'405'!$T$82,'405'!$T$84,'405'!$T$86</definedName>
    <definedName name="OSRRefT22x_0" localSheetId="72">'406'!$T$20,'406'!$T$22</definedName>
    <definedName name="OSRRefT22x_0" localSheetId="73">'411'!$T$20:$T$28,'411'!$T$30:$T$39,'411'!$T$41,'411'!$T$43:$T$44,'411'!$T$46,'411'!$T$48,'411'!$T$50,'411'!$T$52,'411'!$T$54:$T$56,'411'!$T$58:$T$60,'411'!$T$62,'411'!$T$64,'411'!$T$66,'411'!$T$68,'411'!$T$70</definedName>
    <definedName name="OSRRefT22x_0" localSheetId="74">'412'!$T$20,'412'!$T$22,'412'!$T$24,'412'!$T$26</definedName>
    <definedName name="OSRRefT22x_0" localSheetId="75">'413'!$T$20,'413'!$T$22,'413'!$T$24</definedName>
    <definedName name="OSRRefT22x_0" localSheetId="76">'414'!$T$20,'414'!$T$22,'414'!$T$24</definedName>
    <definedName name="OSRRefT22x_0" localSheetId="77">'415'!$T$27:$T$35,'415'!$T$37:$T$46,'415'!$T$48,'415'!$T$50,'415'!$T$52,'415'!$T$54:$T$55,'415'!$T$57,'415'!$T$59,'415'!$T$61,'415'!$T$63,'415'!$T$65,'415'!$T$67:$T$68,'415'!$T$70:$T$73,'415'!$T$75,'415'!$T$77:$T$82,'415'!$T$84:$T$85,'415'!$T$87,'415'!$T$89</definedName>
    <definedName name="OSRRefT22x_0" localSheetId="78">'418'!$T$24:$T$32,'418'!$T$34:$T$43,'418'!$T$45,'418'!$T$47,'418'!$T$49:$T$50,'418'!$T$52,'418'!$T$54,'418'!$T$56,'418'!$T$58:$T$59,'418'!$T$61:$T$64,'418'!$T$66,'418'!$T$68:$T$75,'418'!$T$77:$T$78,'418'!$T$80,'418'!$T$82</definedName>
    <definedName name="OSRRefT22x_0" localSheetId="79">'423'!$T$20:$T$27,'423'!$T$29:$T$38,'423'!$T$40,'423'!$T$42,'423'!$T$44,'423'!$T$46</definedName>
    <definedName name="OSRRefT22x_0" localSheetId="80">'424'!$T$20,'424'!$T$22,'424'!$T$24</definedName>
    <definedName name="OSRRefT22x_0" localSheetId="81">'425'!$T$22,'425'!$T$24,'425'!$T$26,'425'!$T$28,'425'!$T$30,'425'!$T$32</definedName>
    <definedName name="OSRRefT22x_0" localSheetId="83">'430'!$T$20:$T$28,'430'!$T$30:$T$39,'430'!$T$41,'430'!$T$43,'430'!$T$45,'430'!$T$47:$T$48,'430'!$T$50:$T$51,'430'!$T$53,'430'!$T$55</definedName>
    <definedName name="OSRRefT22x_0" localSheetId="84">'433'!$T$27:$T$36,'433'!$T$38:$T$47,'433'!$T$49,'433'!$T$51,'433'!$T$53,'433'!$T$55,'433'!$T$57,'433'!$T$59,'433'!$T$61,'433'!$T$63,'433'!$T$65,'433'!$T$67:$T$69,'433'!$T$71:$T$74,'433'!$T$76:$T$83,'433'!$T$85</definedName>
    <definedName name="OSRRefT22x_0" localSheetId="85">'444'!$T$27:$T$36,'444'!$T$38:$T$47,'444'!$T$49,'444'!$T$51,'444'!$T$53,'444'!$T$55,'444'!$T$57,'444'!$T$59,'444'!$T$61,'444'!$T$63,'444'!$T$65,'444'!$T$67:$T$68,'444'!$T$70:$T$73,'444'!$T$75,'444'!$T$77:$T$84,'444'!$T$86,'444'!$T$88</definedName>
    <definedName name="OSRRefT22x_0" localSheetId="86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70">'491'!$T$28:$T$36,'491'!$T$38:$T$47,'491'!$T$49,'491'!$T$51,'491'!$T$53,'491'!$T$55:$T$56,'491'!$T$58,'491'!$T$60,'491'!$T$62,'491'!$T$64,'491'!$T$66,'491'!$T$68,'491'!$T$70:$T$72,'491'!$T$74,'491'!$T$76:$T$80,'491'!$T$82,'491'!$T$84:$T$92,'491'!$T$94:$T$95,'491'!$T$97,'491'!$T$99,'491'!$T$101</definedName>
    <definedName name="OSRRefT22x_0" localSheetId="82">'492'!$T$27:$T$36,'492'!$T$38:$T$47,'492'!$T$49,'492'!$T$51,'492'!$T$53,'492'!$T$55,'492'!$T$57,'492'!$T$59,'492'!$T$61,'492'!$T$63,'492'!$T$65,'492'!$T$67,'492'!$T$69:$T$71,'492'!$T$73:$T$76,'492'!$T$78,'492'!$T$80:$T$87,'492'!$T$89:$T$90,'492'!$T$92,'492'!$T$94:$T$95</definedName>
    <definedName name="OSRRefT22x_0" localSheetId="88">'501'!$T$21:$T$30,'501'!$T$32:$T$41,'501'!$T$43,'501'!$T$45,'501'!$T$47,'501'!$T$49:$T$50,'501'!$T$52,'501'!$T$54,'501'!$T$56,'501'!$T$58:$T$60,'501'!$T$62,'501'!$T$64:$T$66,'501'!$T$68,'501'!$T$70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2'!$T$77:$T$78,'Div 2'!$T$80:$T$85,'Div 2'!$T$87:$T$88,'Div 2'!$T$90,'Div 2'!$T$92:$T$93</definedName>
    <definedName name="OSRRefT22x_0" localSheetId="47">'Div 3'!$T$58:$T$67,'Div 3'!$T$69:$T$78,'Div 3'!$T$80,'Div 3'!$T$82,'Div 3'!$T$84,'Div 3'!$T$86:$T$87,'Div 3'!$T$89:$T$90,'Div 3'!$T$92,'Div 3'!$T$94,'Div 3'!$T$96,'Div 3'!$T$98:$T$99,'Div 3'!$T$101:$T$102,'Div 3'!$T$104,'Div 3'!$T$106,'Div 3'!$T$108,'Div 3'!$T$110,'Div 3'!$T$112,'Div 3'!$T$114:$T$117,'Div 3'!$T$119:$T$122,'Div 3'!$T$124:$T$127,'Div 3'!$T$129:$T$130,'Div 3'!$T$132:$T$138,'Div 3'!$T$140:$T$141,'Div 3'!$T$143,'Div 3'!$T$145:$T$147,'Div 3'!$T$149</definedName>
    <definedName name="OSRRefT22x_0" localSheetId="68">'Div 4'!$T$29:$T$38,'Div 4'!$T$40:$T$49,'Div 4'!$T$51,'Div 4'!$T$53,'Div 4'!$T$55,'Div 4'!$T$57:$T$58,'Div 4'!$T$60,'Div 4'!$T$62,'Div 4'!$T$64,'Div 4'!$T$66,'Div 4'!$T$68,'Div 4'!$T$70,'Div 4'!$T$72,'Div 4'!$T$74,'Div 4'!$T$76:$T$78,'Div 4'!$T$80,'Div 4'!$T$82:$T$86,'Div 4'!$T$88:$T$89,'Div 4'!$T$91:$T$100,'Div 4'!$T$102:$T$103,'Div 4'!$T$105,'Div 4'!$T$107:$T$108,'Div 4'!$T$110</definedName>
    <definedName name="OSRRefT22x_0" localSheetId="87">'Div 5'!$T$21:$T$30,'Div 5'!$T$32:$T$41,'Div 5'!$T$43,'Div 5'!$T$45,'Div 5'!$T$47,'Div 5'!$T$49:$T$50,'Div 5'!$T$52,'Div 5'!$T$54,'Div 5'!$T$56,'Div 5'!$T$58:$T$60,'Div 5'!$T$62,'Div 5'!$T$64:$T$66,'Div 5'!$T$68,'Div 5'!$T$70</definedName>
    <definedName name="OSRRefT22x_0" localSheetId="60">'Div 6'!$T$35:$T$44,'Div 6'!$T$46:$T$55,'Div 6'!$T$57,'Div 6'!$T$59,'Div 6'!$T$61,'Div 6'!$T$63,'Div 6'!$T$65,'Div 6'!$T$67,'Div 6'!$T$69:$T$70,'Div 6'!$T$72</definedName>
    <definedName name="OSRRefT22x_0" localSheetId="2">Summary!$T$66:$T$75,Summary!$T$77:$T$86,Summary!$T$88,Summary!$T$90,Summary!$T$92,Summary!$T$94:$T$95,Summary!$T$97:$T$98,Summary!$T$100,Summary!$T$102,Summary!$T$104,Summary!$T$106:$T$107,Summary!$T$109:$T$110,Summary!$T$112,Summary!$T$114,Summary!$T$116,Summary!$T$118,Summary!$T$120,Summary!$T$122,Summary!$T$124:$T$127,Summary!$T$129:$T$132,Summary!$T$134:$T$138,Summary!$T$140:$T$141,Summary!$T$143:$T$152,Summary!$T$154:$T$155,Summary!$T$157,Summary!$T$159:$T$161,Summary!$T$163</definedName>
    <definedName name="OSRRefT25x_0" localSheetId="48">'300'!$T$145:$T$149</definedName>
    <definedName name="OSRRefT25x_0" localSheetId="49">'300 &amp; 317'!$T$151:$T$157</definedName>
    <definedName name="OSRRefT25x_0" localSheetId="50">'301'!$T$98:$T$99</definedName>
    <definedName name="OSRRefT25x_0" localSheetId="53">'308'!$T$84:$T$87</definedName>
    <definedName name="OSRRefT25x_0" localSheetId="69">'310 &amp; 491'!$T$107:$T$109</definedName>
    <definedName name="OSRRefT25x_0" localSheetId="54">'311'!$T$84:$T$87</definedName>
    <definedName name="OSRRefT25x_0" localSheetId="57">'315'!$T$106:$T$108</definedName>
    <definedName name="OSRRefT25x_0" localSheetId="59">'316'!$T$73</definedName>
    <definedName name="OSRRefT25x_0" localSheetId="61">'317'!$T$75:$T$77</definedName>
    <definedName name="OSRRefT25x_0" localSheetId="56">'331'!$T$118:$T$120</definedName>
    <definedName name="OSRRefT25x_0" localSheetId="58">'332'!$T$73</definedName>
    <definedName name="OSRRefT25x_0" localSheetId="71">'405'!$T$89</definedName>
    <definedName name="OSRRefT25x_0" localSheetId="73">'411'!$T$73</definedName>
    <definedName name="OSRRefT25x_0" localSheetId="77">'415'!$T$92</definedName>
    <definedName name="OSRRefT25x_0" localSheetId="78">'418'!$T$85</definedName>
    <definedName name="OSRRefT25x_0" localSheetId="79">'423'!$T$49</definedName>
    <definedName name="OSRRefT25x_0" localSheetId="70">'491'!$T$104:$T$106</definedName>
    <definedName name="OSRRefT25x_0" localSheetId="88">'501'!$T$73</definedName>
    <definedName name="OSRRefT25x_0" localSheetId="47">'Div 3'!$T$152:$T$156</definedName>
    <definedName name="OSRRefT25x_0" localSheetId="68">'Div 4'!$T$113:$T$115</definedName>
    <definedName name="OSRRefT25x_0" localSheetId="87">'Div 5'!$T$73</definedName>
    <definedName name="OSRRefT25x_0" localSheetId="60">'Div 6'!$T$75:$T$77</definedName>
    <definedName name="OSRRefT25x_0" localSheetId="2">Summary!$T$166:$T$173</definedName>
    <definedName name="_xlnm.Print_Area" localSheetId="38">'100'!$A$1:$Z$34</definedName>
    <definedName name="_xlnm.Print_Area" localSheetId="40">'200'!$A$1:$Z$41</definedName>
    <definedName name="_xlnm.Print_Area" localSheetId="41">'201'!$A$1:$Z$85</definedName>
    <definedName name="_xlnm.Print_Area" localSheetId="42">'202'!$A$1:$Z$77</definedName>
    <definedName name="_xlnm.Print_Area" localSheetId="43">'203'!$A$1:$Z$86</definedName>
    <definedName name="_xlnm.Print_Area" localSheetId="44">'204'!$A$1:$Z$76</definedName>
    <definedName name="_xlnm.Print_Area" localSheetId="45">'205'!$A$1:$Z$68</definedName>
    <definedName name="_xlnm.Print_Area" localSheetId="46">'206'!$A$1:$Z$67</definedName>
    <definedName name="_xlnm.Print_Area" localSheetId="48">'300'!$A$1:$Z$161</definedName>
    <definedName name="_xlnm.Print_Area" localSheetId="49">'300 &amp; 317'!$A$1:$Z$169</definedName>
    <definedName name="_xlnm.Print_Area" localSheetId="50">'301'!$A$1:$Z$111</definedName>
    <definedName name="_xlnm.Print_Area" localSheetId="52">'307'!$A$1:$Z$94</definedName>
    <definedName name="_xlnm.Print_Area" localSheetId="53">'308'!$A$1:$Z$99</definedName>
    <definedName name="_xlnm.Print_Area" localSheetId="63">'309'!$A$1:$Z$47</definedName>
    <definedName name="_xlnm.Print_Area" localSheetId="62">'310'!$A$1:$Z$102</definedName>
    <definedName name="_xlnm.Print_Area" localSheetId="69">'310 &amp; 491'!$A$1:$Z$121</definedName>
    <definedName name="_xlnm.Print_Area" localSheetId="54">'311'!$A$1:$Z$99</definedName>
    <definedName name="_xlnm.Print_Area" localSheetId="57">'315'!$A$1:$Z$120</definedName>
    <definedName name="_xlnm.Print_Area" localSheetId="59">'316'!$A$1:$Z$85</definedName>
    <definedName name="_xlnm.Print_Area" localSheetId="61">'317'!$A$1:$Z$89</definedName>
    <definedName name="_xlnm.Print_Area" localSheetId="64">'321'!$A$1:$Z$82</definedName>
    <definedName name="_xlnm.Print_Area" localSheetId="55">'324'!$A$1:$Z$35</definedName>
    <definedName name="_xlnm.Print_Area" localSheetId="65">'325'!$A$1:$Z$96</definedName>
    <definedName name="_xlnm.Print_Area" localSheetId="66">'326'!$A$1:$Z$100</definedName>
    <definedName name="_xlnm.Print_Area" localSheetId="67">'327'!$A$1:$Z$40</definedName>
    <definedName name="_xlnm.Print_Area" localSheetId="51">'330'!$A$1:$Z$94</definedName>
    <definedName name="_xlnm.Print_Area" localSheetId="56">'331'!$A$1:$Z$132</definedName>
    <definedName name="_xlnm.Print_Area" localSheetId="58">'332'!$A$1:$Z$85</definedName>
    <definedName name="_xlnm.Print_Area" localSheetId="71">'405'!$A$1:$Z$101</definedName>
    <definedName name="_xlnm.Print_Area" localSheetId="72">'406'!$A$1:$Z$36</definedName>
    <definedName name="_xlnm.Print_Area" localSheetId="73">'411'!$A$1:$Z$85</definedName>
    <definedName name="_xlnm.Print_Area" localSheetId="74">'412'!$A$1:$Z$40</definedName>
    <definedName name="_xlnm.Print_Area" localSheetId="75">'413'!$A$1:$Z$38</definedName>
    <definedName name="_xlnm.Print_Area" localSheetId="76">'414'!$A$1:$Z$38</definedName>
    <definedName name="_xlnm.Print_Area" localSheetId="77">'415'!$A$1:$Z$104</definedName>
    <definedName name="_xlnm.Print_Area" localSheetId="78">'418'!$A$1:$Z$97</definedName>
    <definedName name="_xlnm.Print_Area" localSheetId="79">'423'!$A$1:$Z$61</definedName>
    <definedName name="_xlnm.Print_Area" localSheetId="80">'424'!$A$1:$Z$38</definedName>
    <definedName name="_xlnm.Print_Area" localSheetId="81">'425'!$A$1:$Z$46</definedName>
    <definedName name="_xlnm.Print_Area" localSheetId="83">'430'!$A$1:$Z$69</definedName>
    <definedName name="_xlnm.Print_Area" localSheetId="84">'433'!$A$1:$Z$99</definedName>
    <definedName name="_xlnm.Print_Area" localSheetId="85">'444'!$A$1:$Z$102</definedName>
    <definedName name="_xlnm.Print_Area" localSheetId="86">'450'!$A$1:$Z$102</definedName>
    <definedName name="_xlnm.Print_Area" localSheetId="70">'491'!$A$1:$Z$118</definedName>
    <definedName name="_xlnm.Print_Area" localSheetId="82">'492'!$A$1:$Z$109</definedName>
    <definedName name="_xlnm.Print_Area" localSheetId="88">'501'!$A$1:$Z$85</definedName>
    <definedName name="_xlnm.Print_Area" localSheetId="89">Dept!$A$1:$Z$39</definedName>
    <definedName name="_xlnm.Print_Area" localSheetId="5">'Div 1'!$A$1:$Z$34</definedName>
    <definedName name="_xlnm.Print_Area" localSheetId="39">'Div 2'!$A$1:$Z$107</definedName>
    <definedName name="_xlnm.Print_Area" localSheetId="47">'Div 3'!$A$1:$Z$168</definedName>
    <definedName name="_xlnm.Print_Area" localSheetId="68">'Div 4'!$A$1:$Z$127</definedName>
    <definedName name="_xlnm.Print_Area" localSheetId="87">'Div 5'!$A$1:$Z$85</definedName>
    <definedName name="_xlnm.Print_Area" localSheetId="60">'Div 6'!$A$1:$Z$89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0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1">'OSR_Summary (...56e5d78f_5JEYZH'!$A$1:$Z$39</definedName>
    <definedName name="_xlnm.Print_Area" localSheetId="3">OSR_Summary_18VAVWG!$A$1:$Z$39</definedName>
    <definedName name="_xlnm.Print_Area" localSheetId="2">Summary!$A$1:$Z$187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3">'309'!$A:$C,'309'!$1:$10</definedName>
    <definedName name="_xlnm.Print_Titles" localSheetId="62">'310'!$A:$C,'310'!$1:$10</definedName>
    <definedName name="_xlnm.Print_Titles" localSheetId="69">'310 &amp; 491'!$A:$C,'310 &amp; 491'!$1:$10</definedName>
    <definedName name="_xlnm.Print_Titles" localSheetId="54">'311'!$A:$C,'311'!$1:$10</definedName>
    <definedName name="_xlnm.Print_Titles" localSheetId="57">'315'!$A:$C,'315'!$1:$10</definedName>
    <definedName name="_xlnm.Print_Titles" localSheetId="59">'316'!$A:$C,'316'!$1:$10</definedName>
    <definedName name="_xlnm.Print_Titles" localSheetId="61">'317'!$A:$C,'317'!$1:$10</definedName>
    <definedName name="_xlnm.Print_Titles" localSheetId="64">'321'!$A:$C,'321'!$1:$10</definedName>
    <definedName name="_xlnm.Print_Titles" localSheetId="55">'324'!$A:$C,'324'!$1:$10</definedName>
    <definedName name="_xlnm.Print_Titles" localSheetId="65">'325'!$A:$C,'325'!$1:$10</definedName>
    <definedName name="_xlnm.Print_Titles" localSheetId="66">'326'!$A:$C,'326'!$1:$10</definedName>
    <definedName name="_xlnm.Print_Titles" localSheetId="67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8">'332'!$A:$C,'332'!$1:$10</definedName>
    <definedName name="_xlnm.Print_Titles" localSheetId="71">'405'!$A:$C,'405'!$1:$10</definedName>
    <definedName name="_xlnm.Print_Titles" localSheetId="72">'406'!$A:$C,'406'!$1:$10</definedName>
    <definedName name="_xlnm.Print_Titles" localSheetId="73">'411'!$A:$C,'411'!$1:$10</definedName>
    <definedName name="_xlnm.Print_Titles" localSheetId="74">'412'!$A:$C,'412'!$1:$10</definedName>
    <definedName name="_xlnm.Print_Titles" localSheetId="75">'413'!$A:$C,'413'!$1:$10</definedName>
    <definedName name="_xlnm.Print_Titles" localSheetId="76">'414'!$A:$C,'414'!$1:$10</definedName>
    <definedName name="_xlnm.Print_Titles" localSheetId="77">'415'!$A:$C,'415'!$1:$10</definedName>
    <definedName name="_xlnm.Print_Titles" localSheetId="78">'418'!$A:$C,'418'!$1:$10</definedName>
    <definedName name="_xlnm.Print_Titles" localSheetId="79">'423'!$A:$C,'423'!$1:$10</definedName>
    <definedName name="_xlnm.Print_Titles" localSheetId="80">'424'!$A:$C,'424'!$1:$10</definedName>
    <definedName name="_xlnm.Print_Titles" localSheetId="81">'425'!$A:$C,'425'!$1:$10</definedName>
    <definedName name="_xlnm.Print_Titles" localSheetId="83">'430'!$A:$C,'430'!$1:$10</definedName>
    <definedName name="_xlnm.Print_Titles" localSheetId="84">'433'!$A:$C,'433'!$1:$10</definedName>
    <definedName name="_xlnm.Print_Titles" localSheetId="85">'444'!$A:$C,'444'!$1:$10</definedName>
    <definedName name="_xlnm.Print_Titles" localSheetId="86">'450'!$A:$C,'450'!$1:$10</definedName>
    <definedName name="_xlnm.Print_Titles" localSheetId="70">'491'!$A:$C,'491'!$1:$10</definedName>
    <definedName name="_xlnm.Print_Titles" localSheetId="82">'492'!$A:$C,'492'!$1:$10</definedName>
    <definedName name="_xlnm.Print_Titles" localSheetId="88">'501'!$A:$C,'501'!$1:$10</definedName>
    <definedName name="_xlnm.Print_Titles" localSheetId="89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68">'Div 4'!$A:$C,'Div 4'!$1:$10</definedName>
    <definedName name="_xlnm.Print_Titles" localSheetId="87">'Div 5'!$A:$C,'Div 5'!$1:$10</definedName>
    <definedName name="_xlnm.Print_Titles" localSheetId="60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0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1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4" l="1"/>
  <c r="B38" i="94"/>
  <c r="T34" i="94"/>
  <c r="Z34" i="94" s="1"/>
  <c r="P34" i="94"/>
  <c r="H34" i="94"/>
  <c r="N34" i="94" s="1"/>
  <c r="D34" i="94"/>
  <c r="T33" i="94"/>
  <c r="Z33" i="94" s="1"/>
  <c r="P33" i="94"/>
  <c r="H33" i="94"/>
  <c r="N33" i="94" s="1"/>
  <c r="D33" i="94"/>
  <c r="T29" i="94"/>
  <c r="Z29" i="94" s="1"/>
  <c r="P29" i="94"/>
  <c r="H29" i="94"/>
  <c r="N29" i="94" s="1"/>
  <c r="D29" i="94"/>
  <c r="T25" i="94"/>
  <c r="Z25" i="94" s="1"/>
  <c r="P25" i="94"/>
  <c r="X25" i="94" s="1"/>
  <c r="H25" i="94"/>
  <c r="N25" i="94" s="1"/>
  <c r="D25" i="94"/>
  <c r="B25" i="94"/>
  <c r="T24" i="94"/>
  <c r="P24" i="94"/>
  <c r="H24" i="94"/>
  <c r="N24" i="94" s="1"/>
  <c r="D24" i="94"/>
  <c r="T22" i="94"/>
  <c r="Z22" i="94" s="1"/>
  <c r="P22" i="94"/>
  <c r="H22" i="94"/>
  <c r="N22" i="94" s="1"/>
  <c r="D22" i="94"/>
  <c r="B22" i="94"/>
  <c r="T21" i="94"/>
  <c r="Z21" i="94" s="1"/>
  <c r="P21" i="94"/>
  <c r="H21" i="94"/>
  <c r="N21" i="94" s="1"/>
  <c r="D21" i="94"/>
  <c r="B21" i="94"/>
  <c r="T20" i="94"/>
  <c r="Z20" i="94" s="1"/>
  <c r="P20" i="94"/>
  <c r="H20" i="94"/>
  <c r="N20" i="94" s="1"/>
  <c r="D20" i="94"/>
  <c r="T16" i="94"/>
  <c r="Z16" i="94" s="1"/>
  <c r="P16" i="94"/>
  <c r="H16" i="94"/>
  <c r="N16" i="94" s="1"/>
  <c r="D16" i="94"/>
  <c r="B16" i="94"/>
  <c r="T15" i="94"/>
  <c r="Z15" i="94" s="1"/>
  <c r="P15" i="94"/>
  <c r="H15" i="94"/>
  <c r="N15" i="94" s="1"/>
  <c r="D15" i="94"/>
  <c r="T13" i="94"/>
  <c r="Z13" i="94" s="1"/>
  <c r="P13" i="94"/>
  <c r="H13" i="94"/>
  <c r="N13" i="94" s="1"/>
  <c r="D13" i="94"/>
  <c r="B13" i="94"/>
  <c r="T12" i="94"/>
  <c r="V24" i="94" s="1"/>
  <c r="P12" i="94"/>
  <c r="H12" i="94"/>
  <c r="J18" i="94" s="1"/>
  <c r="D12" i="94"/>
  <c r="F24" i="94" s="1"/>
  <c r="D6" i="94"/>
  <c r="D5" i="94"/>
  <c r="D4" i="94"/>
  <c r="B39" i="93"/>
  <c r="B38" i="93"/>
  <c r="T34" i="93"/>
  <c r="Z34" i="93" s="1"/>
  <c r="P34" i="93"/>
  <c r="H34" i="93"/>
  <c r="N34" i="93" s="1"/>
  <c r="D34" i="93"/>
  <c r="T33" i="93"/>
  <c r="P33" i="93"/>
  <c r="H33" i="93"/>
  <c r="N33" i="93" s="1"/>
  <c r="D33" i="93"/>
  <c r="T29" i="93"/>
  <c r="Z29" i="93" s="1"/>
  <c r="P29" i="93"/>
  <c r="H29" i="93"/>
  <c r="N29" i="93" s="1"/>
  <c r="D29" i="93"/>
  <c r="L29" i="93" s="1"/>
  <c r="T25" i="93"/>
  <c r="Z25" i="93" s="1"/>
  <c r="P25" i="93"/>
  <c r="H25" i="93"/>
  <c r="N25" i="93" s="1"/>
  <c r="D25" i="93"/>
  <c r="B25" i="93"/>
  <c r="T24" i="93"/>
  <c r="P24" i="93"/>
  <c r="H24" i="93"/>
  <c r="N24" i="93" s="1"/>
  <c r="D24" i="93"/>
  <c r="T22" i="93"/>
  <c r="Z22" i="93" s="1"/>
  <c r="P22" i="93"/>
  <c r="H22" i="93"/>
  <c r="N22" i="93" s="1"/>
  <c r="D22" i="93"/>
  <c r="B22" i="93"/>
  <c r="T21" i="93"/>
  <c r="Z21" i="93" s="1"/>
  <c r="P21" i="93"/>
  <c r="H21" i="93"/>
  <c r="N21" i="93" s="1"/>
  <c r="D21" i="93"/>
  <c r="B21" i="93"/>
  <c r="T20" i="93"/>
  <c r="Z20" i="93" s="1"/>
  <c r="P20" i="93"/>
  <c r="H20" i="93"/>
  <c r="N20" i="93" s="1"/>
  <c r="D20" i="93"/>
  <c r="T16" i="93"/>
  <c r="Z16" i="93" s="1"/>
  <c r="P16" i="93"/>
  <c r="H16" i="93"/>
  <c r="N16" i="93" s="1"/>
  <c r="D16" i="93"/>
  <c r="B16" i="93"/>
  <c r="T15" i="93"/>
  <c r="P15" i="93"/>
  <c r="H15" i="93"/>
  <c r="N15" i="93" s="1"/>
  <c r="D15" i="93"/>
  <c r="T13" i="93"/>
  <c r="Z13" i="93" s="1"/>
  <c r="P13" i="93"/>
  <c r="H13" i="93"/>
  <c r="N13" i="93" s="1"/>
  <c r="D13" i="93"/>
  <c r="B13" i="93"/>
  <c r="T12" i="93"/>
  <c r="V20" i="93" s="1"/>
  <c r="P12" i="93"/>
  <c r="R27" i="93" s="1"/>
  <c r="H12" i="93"/>
  <c r="J34" i="93" s="1"/>
  <c r="D12" i="93"/>
  <c r="F20" i="93" s="1"/>
  <c r="D6" i="93"/>
  <c r="D5" i="93"/>
  <c r="D4" i="93"/>
  <c r="B39" i="92"/>
  <c r="B38" i="92"/>
  <c r="T34" i="92"/>
  <c r="Z34" i="92" s="1"/>
  <c r="P34" i="92"/>
  <c r="H34" i="92"/>
  <c r="N34" i="92" s="1"/>
  <c r="D34" i="92"/>
  <c r="T33" i="92"/>
  <c r="Z33" i="92" s="1"/>
  <c r="P33" i="92"/>
  <c r="H33" i="92"/>
  <c r="D33" i="92"/>
  <c r="T29" i="92"/>
  <c r="Z29" i="92" s="1"/>
  <c r="P29" i="92"/>
  <c r="H29" i="92"/>
  <c r="D29" i="92"/>
  <c r="T25" i="92"/>
  <c r="Z25" i="92" s="1"/>
  <c r="P25" i="92"/>
  <c r="H25" i="92"/>
  <c r="D25" i="92"/>
  <c r="B25" i="92"/>
  <c r="T24" i="92"/>
  <c r="Z24" i="92" s="1"/>
  <c r="P24" i="92"/>
  <c r="H24" i="92"/>
  <c r="N24" i="92" s="1"/>
  <c r="D24" i="92"/>
  <c r="T22" i="92"/>
  <c r="Z22" i="92" s="1"/>
  <c r="P22" i="92"/>
  <c r="H22" i="92"/>
  <c r="N22" i="92" s="1"/>
  <c r="D22" i="92"/>
  <c r="B22" i="92"/>
  <c r="T21" i="92"/>
  <c r="P21" i="92"/>
  <c r="H21" i="92"/>
  <c r="N21" i="92" s="1"/>
  <c r="D21" i="92"/>
  <c r="B21" i="92"/>
  <c r="T20" i="92"/>
  <c r="Z20" i="92" s="1"/>
  <c r="P20" i="92"/>
  <c r="H20" i="92"/>
  <c r="N20" i="92" s="1"/>
  <c r="D20" i="92"/>
  <c r="T16" i="92"/>
  <c r="Z16" i="92" s="1"/>
  <c r="P16" i="92"/>
  <c r="H16" i="92"/>
  <c r="N16" i="92" s="1"/>
  <c r="D16" i="92"/>
  <c r="B16" i="92"/>
  <c r="T15" i="92"/>
  <c r="Z15" i="92" s="1"/>
  <c r="P15" i="92"/>
  <c r="H15" i="92"/>
  <c r="N15" i="92" s="1"/>
  <c r="D15" i="92"/>
  <c r="T13" i="92"/>
  <c r="Z13" i="92" s="1"/>
  <c r="P13" i="92"/>
  <c r="H13" i="92"/>
  <c r="N13" i="92" s="1"/>
  <c r="D13" i="92"/>
  <c r="B13" i="92"/>
  <c r="T12" i="92"/>
  <c r="V22" i="92" s="1"/>
  <c r="P12" i="92"/>
  <c r="R18" i="92" s="1"/>
  <c r="H12" i="92"/>
  <c r="J20" i="92" s="1"/>
  <c r="D12" i="92"/>
  <c r="D6" i="92"/>
  <c r="D5" i="92"/>
  <c r="D4" i="92"/>
  <c r="X77" i="91"/>
  <c r="Z77" i="91" s="1"/>
  <c r="N77" i="91"/>
  <c r="L77" i="91"/>
  <c r="P73" i="91"/>
  <c r="X73" i="91" s="1"/>
  <c r="Z73" i="91" s="1"/>
  <c r="N73" i="91"/>
  <c r="L73" i="91"/>
  <c r="D73" i="91"/>
  <c r="B73" i="91"/>
  <c r="T72" i="91"/>
  <c r="P72" i="91"/>
  <c r="X72" i="91" s="1"/>
  <c r="L72" i="91"/>
  <c r="H72" i="91"/>
  <c r="N72" i="91" s="1"/>
  <c r="D72" i="91"/>
  <c r="Z70" i="91"/>
  <c r="X70" i="91"/>
  <c r="N70" i="91"/>
  <c r="L70" i="91"/>
  <c r="B70" i="91"/>
  <c r="Z69" i="91"/>
  <c r="T69" i="91"/>
  <c r="P69" i="91"/>
  <c r="X69" i="91" s="1"/>
  <c r="N69" i="91"/>
  <c r="J69" i="91"/>
  <c r="H69" i="91"/>
  <c r="D69" i="91"/>
  <c r="L69" i="91" s="1"/>
  <c r="B69" i="91"/>
  <c r="Z68" i="91"/>
  <c r="X68" i="91"/>
  <c r="R68" i="91"/>
  <c r="L68" i="91"/>
  <c r="N68" i="91" s="1"/>
  <c r="B68" i="91"/>
  <c r="T67" i="91"/>
  <c r="P67" i="91"/>
  <c r="X67" i="91" s="1"/>
  <c r="Z67" i="91" s="1"/>
  <c r="N67" i="91"/>
  <c r="L67" i="91"/>
  <c r="H67" i="91"/>
  <c r="D67" i="91"/>
  <c r="B67" i="91"/>
  <c r="Z66" i="91"/>
  <c r="X66" i="91"/>
  <c r="N66" i="91"/>
  <c r="L66" i="91"/>
  <c r="B66" i="91"/>
  <c r="Z65" i="91"/>
  <c r="X65" i="91"/>
  <c r="N65" i="91"/>
  <c r="L65" i="91"/>
  <c r="B65" i="91"/>
  <c r="Z64" i="91"/>
  <c r="X64" i="91"/>
  <c r="L64" i="91"/>
  <c r="N64" i="91" s="1"/>
  <c r="J64" i="91"/>
  <c r="B64" i="91"/>
  <c r="T63" i="91"/>
  <c r="P63" i="91"/>
  <c r="X63" i="91" s="1"/>
  <c r="Z63" i="91" s="1"/>
  <c r="N63" i="91"/>
  <c r="L63" i="91"/>
  <c r="H63" i="91"/>
  <c r="D63" i="91"/>
  <c r="B63" i="91"/>
  <c r="X62" i="91"/>
  <c r="Z62" i="91" s="1"/>
  <c r="L62" i="91"/>
  <c r="N62" i="91" s="1"/>
  <c r="B62" i="91"/>
  <c r="Z61" i="91"/>
  <c r="X61" i="91"/>
  <c r="T61" i="91"/>
  <c r="R61" i="91"/>
  <c r="P61" i="91"/>
  <c r="N61" i="91"/>
  <c r="L61" i="91"/>
  <c r="H61" i="91"/>
  <c r="D61" i="91"/>
  <c r="B61" i="91"/>
  <c r="Z60" i="91"/>
  <c r="X60" i="91"/>
  <c r="N60" i="91"/>
  <c r="L60" i="91"/>
  <c r="B60" i="91"/>
  <c r="Z59" i="91"/>
  <c r="X59" i="91"/>
  <c r="V59" i="91"/>
  <c r="N59" i="91"/>
  <c r="L59" i="91"/>
  <c r="B59" i="91"/>
  <c r="Z58" i="91"/>
  <c r="X58" i="91"/>
  <c r="N58" i="91"/>
  <c r="L58" i="91"/>
  <c r="B58" i="91"/>
  <c r="X57" i="91"/>
  <c r="Z57" i="91" s="1"/>
  <c r="T57" i="91"/>
  <c r="P57" i="91"/>
  <c r="N57" i="91"/>
  <c r="L57" i="91"/>
  <c r="H57" i="91"/>
  <c r="D57" i="91"/>
  <c r="B57" i="91"/>
  <c r="X56" i="91"/>
  <c r="Z56" i="91" s="1"/>
  <c r="N56" i="91"/>
  <c r="L56" i="91"/>
  <c r="B56" i="91"/>
  <c r="Z55" i="91"/>
  <c r="T55" i="91"/>
  <c r="X55" i="91" s="1"/>
  <c r="P55" i="91"/>
  <c r="H55" i="91"/>
  <c r="D55" i="91"/>
  <c r="L55" i="91" s="1"/>
  <c r="B55" i="91"/>
  <c r="X54" i="91"/>
  <c r="Z54" i="91" s="1"/>
  <c r="N54" i="91"/>
  <c r="L54" i="91"/>
  <c r="B54" i="91"/>
  <c r="T53" i="91"/>
  <c r="P53" i="91"/>
  <c r="H53" i="91"/>
  <c r="D53" i="91"/>
  <c r="L53" i="91" s="1"/>
  <c r="N53" i="91" s="1"/>
  <c r="B53" i="91"/>
  <c r="Z52" i="91"/>
  <c r="X52" i="91"/>
  <c r="L52" i="91"/>
  <c r="N52" i="91" s="1"/>
  <c r="J52" i="91"/>
  <c r="B52" i="91"/>
  <c r="T51" i="91"/>
  <c r="P51" i="91"/>
  <c r="X51" i="91" s="1"/>
  <c r="Z51" i="91" s="1"/>
  <c r="L51" i="91"/>
  <c r="N51" i="91" s="1"/>
  <c r="H51" i="91"/>
  <c r="D51" i="91"/>
  <c r="B51" i="91"/>
  <c r="Z50" i="91"/>
  <c r="X50" i="91"/>
  <c r="L50" i="91"/>
  <c r="N50" i="91" s="1"/>
  <c r="B50" i="91"/>
  <c r="Z49" i="91"/>
  <c r="X49" i="91"/>
  <c r="N49" i="91"/>
  <c r="L49" i="91"/>
  <c r="B49" i="91"/>
  <c r="T48" i="91"/>
  <c r="P48" i="91"/>
  <c r="X48" i="91" s="1"/>
  <c r="Z48" i="91" s="1"/>
  <c r="N48" i="91"/>
  <c r="L48" i="91"/>
  <c r="H48" i="91"/>
  <c r="D48" i="91"/>
  <c r="B48" i="91"/>
  <c r="X47" i="91"/>
  <c r="Z47" i="91" s="1"/>
  <c r="R47" i="91"/>
  <c r="N47" i="91"/>
  <c r="L47" i="91"/>
  <c r="B47" i="91"/>
  <c r="T46" i="91"/>
  <c r="P46" i="91"/>
  <c r="L46" i="91"/>
  <c r="H46" i="91"/>
  <c r="D46" i="91"/>
  <c r="B46" i="91"/>
  <c r="Z45" i="91"/>
  <c r="X45" i="91"/>
  <c r="N45" i="91"/>
  <c r="L45" i="91"/>
  <c r="J45" i="91"/>
  <c r="B45" i="91"/>
  <c r="T44" i="91"/>
  <c r="P44" i="91"/>
  <c r="H44" i="91"/>
  <c r="D44" i="91"/>
  <c r="L44" i="91" s="1"/>
  <c r="B44" i="91"/>
  <c r="Z43" i="91"/>
  <c r="X43" i="91"/>
  <c r="L43" i="91"/>
  <c r="N43" i="91" s="1"/>
  <c r="B43" i="91"/>
  <c r="X42" i="91"/>
  <c r="T42" i="91"/>
  <c r="P42" i="91"/>
  <c r="L42" i="91"/>
  <c r="H42" i="91"/>
  <c r="N42" i="91" s="1"/>
  <c r="D42" i="91"/>
  <c r="B42" i="91"/>
  <c r="Z41" i="91"/>
  <c r="X41" i="91"/>
  <c r="N41" i="91"/>
  <c r="L41" i="91"/>
  <c r="B41" i="91"/>
  <c r="Z40" i="91"/>
  <c r="X40" i="91"/>
  <c r="N40" i="91"/>
  <c r="L40" i="91"/>
  <c r="J40" i="91"/>
  <c r="B40" i="91"/>
  <c r="Z39" i="91"/>
  <c r="X39" i="91"/>
  <c r="L39" i="91"/>
  <c r="N39" i="91" s="1"/>
  <c r="B39" i="91"/>
  <c r="X38" i="91"/>
  <c r="Z38" i="91" s="1"/>
  <c r="N38" i="91"/>
  <c r="L38" i="91"/>
  <c r="B38" i="91"/>
  <c r="Z37" i="91"/>
  <c r="X37" i="91"/>
  <c r="N37" i="91"/>
  <c r="L37" i="91"/>
  <c r="B37" i="91"/>
  <c r="Z36" i="91"/>
  <c r="X36" i="91"/>
  <c r="N36" i="91"/>
  <c r="L36" i="91"/>
  <c r="B36" i="91"/>
  <c r="Z35" i="91"/>
  <c r="X35" i="91"/>
  <c r="N35" i="91"/>
  <c r="L35" i="91"/>
  <c r="B35" i="91"/>
  <c r="Z34" i="91"/>
  <c r="X34" i="91"/>
  <c r="N34" i="91"/>
  <c r="L34" i="91"/>
  <c r="B34" i="91"/>
  <c r="X33" i="91"/>
  <c r="Z33" i="91" s="1"/>
  <c r="V33" i="91"/>
  <c r="L33" i="91"/>
  <c r="N33" i="91" s="1"/>
  <c r="B33" i="91"/>
  <c r="X32" i="91"/>
  <c r="Z32" i="91" s="1"/>
  <c r="L32" i="91"/>
  <c r="N32" i="91" s="1"/>
  <c r="B32" i="91"/>
  <c r="Z31" i="91"/>
  <c r="T31" i="91"/>
  <c r="P31" i="91"/>
  <c r="X31" i="91" s="1"/>
  <c r="H31" i="91"/>
  <c r="D31" i="91"/>
  <c r="L31" i="91" s="1"/>
  <c r="B31" i="91"/>
  <c r="Z30" i="91"/>
  <c r="X30" i="91"/>
  <c r="N30" i="91"/>
  <c r="L30" i="91"/>
  <c r="B30" i="91"/>
  <c r="Z29" i="91"/>
  <c r="X29" i="91"/>
  <c r="L29" i="91"/>
  <c r="N29" i="91" s="1"/>
  <c r="B29" i="91"/>
  <c r="Z28" i="91"/>
  <c r="X28" i="91"/>
  <c r="V28" i="91"/>
  <c r="N28" i="91"/>
  <c r="L28" i="91"/>
  <c r="B28" i="91"/>
  <c r="Z27" i="91"/>
  <c r="X27" i="91"/>
  <c r="V27" i="91"/>
  <c r="R27" i="91"/>
  <c r="N27" i="91"/>
  <c r="L27" i="91"/>
  <c r="B27" i="91"/>
  <c r="Z26" i="91"/>
  <c r="X26" i="91"/>
  <c r="V26" i="91"/>
  <c r="N26" i="91"/>
  <c r="L26" i="91"/>
  <c r="B26" i="91"/>
  <c r="X25" i="91"/>
  <c r="Z25" i="91" s="1"/>
  <c r="N25" i="91"/>
  <c r="L25" i="91"/>
  <c r="B25" i="91"/>
  <c r="Z24" i="91"/>
  <c r="X24" i="91"/>
  <c r="N24" i="91"/>
  <c r="L24" i="91"/>
  <c r="J24" i="91"/>
  <c r="B24" i="91"/>
  <c r="X23" i="91"/>
  <c r="Z23" i="91" s="1"/>
  <c r="L23" i="91"/>
  <c r="N23" i="91" s="1"/>
  <c r="B23" i="91"/>
  <c r="Z22" i="91"/>
  <c r="X22" i="91"/>
  <c r="N22" i="91"/>
  <c r="L22" i="91"/>
  <c r="B22" i="91"/>
  <c r="Z21" i="91"/>
  <c r="X21" i="91"/>
  <c r="R21" i="91"/>
  <c r="L21" i="91"/>
  <c r="N21" i="91" s="1"/>
  <c r="B21" i="91"/>
  <c r="T20" i="91"/>
  <c r="P20" i="91"/>
  <c r="X20" i="91" s="1"/>
  <c r="N20" i="91"/>
  <c r="H20" i="91"/>
  <c r="D20" i="91"/>
  <c r="L20" i="91" s="1"/>
  <c r="B20" i="91"/>
  <c r="T19" i="91"/>
  <c r="P19" i="91"/>
  <c r="X19" i="91" s="1"/>
  <c r="N19" i="91"/>
  <c r="L19" i="91"/>
  <c r="H19" i="91"/>
  <c r="D19" i="91"/>
  <c r="P17" i="91"/>
  <c r="T15" i="91"/>
  <c r="Z15" i="91" s="1"/>
  <c r="P15" i="91"/>
  <c r="H15" i="91"/>
  <c r="D15" i="91"/>
  <c r="P13" i="91"/>
  <c r="P12" i="91" s="1"/>
  <c r="R29" i="91" s="1"/>
  <c r="D13" i="91"/>
  <c r="B13" i="91"/>
  <c r="T12" i="91"/>
  <c r="H12" i="91"/>
  <c r="J61" i="91" s="1"/>
  <c r="D6" i="91"/>
  <c r="D4" i="91"/>
  <c r="X94" i="90"/>
  <c r="Z94" i="90" s="1"/>
  <c r="V94" i="90"/>
  <c r="N94" i="90"/>
  <c r="L94" i="90"/>
  <c r="Z90" i="90"/>
  <c r="T90" i="90"/>
  <c r="P90" i="90"/>
  <c r="X90" i="90" s="1"/>
  <c r="N90" i="90"/>
  <c r="L90" i="90"/>
  <c r="H90" i="90"/>
  <c r="D90" i="90"/>
  <c r="Z88" i="90"/>
  <c r="X88" i="90"/>
  <c r="N88" i="90"/>
  <c r="L88" i="90"/>
  <c r="B88" i="90"/>
  <c r="X87" i="90"/>
  <c r="T87" i="90"/>
  <c r="Z87" i="90" s="1"/>
  <c r="P87" i="90"/>
  <c r="H87" i="90"/>
  <c r="N87" i="90" s="1"/>
  <c r="D87" i="90"/>
  <c r="L87" i="90" s="1"/>
  <c r="B87" i="90"/>
  <c r="Z86" i="90"/>
  <c r="X86" i="90"/>
  <c r="N86" i="90"/>
  <c r="L86" i="90"/>
  <c r="J86" i="90"/>
  <c r="B86" i="90"/>
  <c r="X85" i="90"/>
  <c r="T85" i="90"/>
  <c r="P85" i="90"/>
  <c r="H85" i="90"/>
  <c r="D85" i="90"/>
  <c r="B85" i="90"/>
  <c r="Z84" i="90"/>
  <c r="X84" i="90"/>
  <c r="L84" i="90"/>
  <c r="N84" i="90" s="1"/>
  <c r="J84" i="90"/>
  <c r="F84" i="90"/>
  <c r="B84" i="90"/>
  <c r="T83" i="90"/>
  <c r="P83" i="90"/>
  <c r="N83" i="90"/>
  <c r="L83" i="90"/>
  <c r="H83" i="90"/>
  <c r="D83" i="90"/>
  <c r="B83" i="90"/>
  <c r="X82" i="90"/>
  <c r="Z82" i="90" s="1"/>
  <c r="N82" i="90"/>
  <c r="L82" i="90"/>
  <c r="J82" i="90"/>
  <c r="B82" i="90"/>
  <c r="Z81" i="90"/>
  <c r="X81" i="90"/>
  <c r="N81" i="90"/>
  <c r="L81" i="90"/>
  <c r="J81" i="90"/>
  <c r="B81" i="90"/>
  <c r="Z80" i="90"/>
  <c r="X80" i="90"/>
  <c r="L80" i="90"/>
  <c r="N80" i="90" s="1"/>
  <c r="J80" i="90"/>
  <c r="B80" i="90"/>
  <c r="X79" i="90"/>
  <c r="Z79" i="90" s="1"/>
  <c r="L79" i="90"/>
  <c r="N79" i="90" s="1"/>
  <c r="J79" i="90"/>
  <c r="B79" i="90"/>
  <c r="Z78" i="90"/>
  <c r="X78" i="90"/>
  <c r="L78" i="90"/>
  <c r="N78" i="90" s="1"/>
  <c r="J78" i="90"/>
  <c r="B78" i="90"/>
  <c r="X77" i="90"/>
  <c r="Z77" i="90" s="1"/>
  <c r="L77" i="90"/>
  <c r="N77" i="90" s="1"/>
  <c r="B77" i="90"/>
  <c r="Z76" i="90"/>
  <c r="X76" i="90"/>
  <c r="N76" i="90"/>
  <c r="L76" i="90"/>
  <c r="J76" i="90"/>
  <c r="B76" i="90"/>
  <c r="T75" i="90"/>
  <c r="X75" i="90" s="1"/>
  <c r="Z75" i="90" s="1"/>
  <c r="P75" i="90"/>
  <c r="H75" i="90"/>
  <c r="D75" i="90"/>
  <c r="B75" i="90"/>
  <c r="Z74" i="90"/>
  <c r="X74" i="90"/>
  <c r="V74" i="90"/>
  <c r="N74" i="90"/>
  <c r="L74" i="90"/>
  <c r="B74" i="90"/>
  <c r="X73" i="90"/>
  <c r="Z73" i="90" s="1"/>
  <c r="L73" i="90"/>
  <c r="N73" i="90" s="1"/>
  <c r="B73" i="90"/>
  <c r="X72" i="90"/>
  <c r="Z72" i="90" s="1"/>
  <c r="R72" i="90"/>
  <c r="N72" i="90"/>
  <c r="L72" i="90"/>
  <c r="B72" i="90"/>
  <c r="X71" i="90"/>
  <c r="Z71" i="90" s="1"/>
  <c r="L71" i="90"/>
  <c r="N71" i="90" s="1"/>
  <c r="B71" i="90"/>
  <c r="Z70" i="90"/>
  <c r="X70" i="90"/>
  <c r="T70" i="90"/>
  <c r="P70" i="90"/>
  <c r="N70" i="90"/>
  <c r="L70" i="90"/>
  <c r="H70" i="90"/>
  <c r="D70" i="90"/>
  <c r="B70" i="90"/>
  <c r="X69" i="90"/>
  <c r="Z69" i="90" s="1"/>
  <c r="N69" i="90"/>
  <c r="L69" i="90"/>
  <c r="B69" i="90"/>
  <c r="X68" i="90"/>
  <c r="Z68" i="90" s="1"/>
  <c r="N68" i="90"/>
  <c r="L68" i="90"/>
  <c r="B68" i="90"/>
  <c r="Z67" i="90"/>
  <c r="X67" i="90"/>
  <c r="N67" i="90"/>
  <c r="L67" i="90"/>
  <c r="B67" i="90"/>
  <c r="X66" i="90"/>
  <c r="Z66" i="90" s="1"/>
  <c r="T66" i="90"/>
  <c r="P66" i="90"/>
  <c r="J66" i="90"/>
  <c r="H66" i="90"/>
  <c r="D66" i="90"/>
  <c r="B66" i="90"/>
  <c r="X65" i="90"/>
  <c r="Z65" i="90" s="1"/>
  <c r="L65" i="90"/>
  <c r="N65" i="90" s="1"/>
  <c r="F65" i="90"/>
  <c r="B65" i="90"/>
  <c r="Z64" i="90"/>
  <c r="X64" i="90"/>
  <c r="T64" i="90"/>
  <c r="P64" i="90"/>
  <c r="N64" i="90"/>
  <c r="H64" i="90"/>
  <c r="D64" i="90"/>
  <c r="L64" i="90" s="1"/>
  <c r="B64" i="90"/>
  <c r="X63" i="90"/>
  <c r="Z63" i="90" s="1"/>
  <c r="N63" i="90"/>
  <c r="L63" i="90"/>
  <c r="B63" i="90"/>
  <c r="V62" i="90"/>
  <c r="T62" i="90"/>
  <c r="P62" i="90"/>
  <c r="H62" i="90"/>
  <c r="D62" i="90"/>
  <c r="L62" i="90" s="1"/>
  <c r="N62" i="90" s="1"/>
  <c r="B62" i="90"/>
  <c r="Z61" i="90"/>
  <c r="X61" i="90"/>
  <c r="N61" i="90"/>
  <c r="L61" i="90"/>
  <c r="B61" i="90"/>
  <c r="Z60" i="90"/>
  <c r="T60" i="90"/>
  <c r="P60" i="90"/>
  <c r="X60" i="90" s="1"/>
  <c r="N60" i="90"/>
  <c r="L60" i="90"/>
  <c r="J60" i="90"/>
  <c r="H60" i="90"/>
  <c r="D60" i="90"/>
  <c r="B60" i="90"/>
  <c r="Z59" i="90"/>
  <c r="X59" i="90"/>
  <c r="V59" i="90"/>
  <c r="L59" i="90"/>
  <c r="N59" i="90" s="1"/>
  <c r="B59" i="90"/>
  <c r="X58" i="90"/>
  <c r="Z58" i="90" s="1"/>
  <c r="T58" i="90"/>
  <c r="P58" i="90"/>
  <c r="H58" i="90"/>
  <c r="L58" i="90" s="1"/>
  <c r="N58" i="90" s="1"/>
  <c r="D58" i="90"/>
  <c r="B58" i="90"/>
  <c r="X57" i="90"/>
  <c r="Z57" i="90" s="1"/>
  <c r="L57" i="90"/>
  <c r="N57" i="90" s="1"/>
  <c r="B57" i="90"/>
  <c r="X56" i="90"/>
  <c r="Z56" i="90" s="1"/>
  <c r="T56" i="90"/>
  <c r="P56" i="90"/>
  <c r="J56" i="90"/>
  <c r="H56" i="90"/>
  <c r="F56" i="90"/>
  <c r="D56" i="90"/>
  <c r="B56" i="90"/>
  <c r="X55" i="90"/>
  <c r="Z55" i="90" s="1"/>
  <c r="L55" i="90"/>
  <c r="N55" i="90" s="1"/>
  <c r="J55" i="90"/>
  <c r="B55" i="90"/>
  <c r="T54" i="90"/>
  <c r="Z54" i="90" s="1"/>
  <c r="P54" i="90"/>
  <c r="X54" i="90" s="1"/>
  <c r="N54" i="90"/>
  <c r="J54" i="90"/>
  <c r="H54" i="90"/>
  <c r="D54" i="90"/>
  <c r="L54" i="90" s="1"/>
  <c r="B54" i="90"/>
  <c r="X53" i="90"/>
  <c r="Z53" i="90" s="1"/>
  <c r="R53" i="90"/>
  <c r="L53" i="90"/>
  <c r="N53" i="90" s="1"/>
  <c r="B53" i="90"/>
  <c r="T52" i="90"/>
  <c r="P52" i="90"/>
  <c r="X52" i="90" s="1"/>
  <c r="Z52" i="90" s="1"/>
  <c r="N52" i="90"/>
  <c r="L52" i="90"/>
  <c r="H52" i="90"/>
  <c r="D52" i="90"/>
  <c r="B52" i="90"/>
  <c r="Z51" i="90"/>
  <c r="X51" i="90"/>
  <c r="L51" i="90"/>
  <c r="N51" i="90" s="1"/>
  <c r="B51" i="90"/>
  <c r="X50" i="90"/>
  <c r="Z50" i="90" s="1"/>
  <c r="T50" i="90"/>
  <c r="P50" i="90"/>
  <c r="L50" i="90"/>
  <c r="J50" i="90"/>
  <c r="H50" i="90"/>
  <c r="D50" i="90"/>
  <c r="B50" i="90"/>
  <c r="X49" i="90"/>
  <c r="Z49" i="90" s="1"/>
  <c r="L49" i="90"/>
  <c r="N49" i="90" s="1"/>
  <c r="B49" i="90"/>
  <c r="T48" i="90"/>
  <c r="P48" i="90"/>
  <c r="H48" i="90"/>
  <c r="D48" i="90"/>
  <c r="B48" i="90"/>
  <c r="Z47" i="90"/>
  <c r="X47" i="90"/>
  <c r="N47" i="90"/>
  <c r="L47" i="90"/>
  <c r="B47" i="90"/>
  <c r="Z46" i="90"/>
  <c r="X46" i="90"/>
  <c r="N46" i="90"/>
  <c r="L46" i="90"/>
  <c r="B46" i="90"/>
  <c r="X45" i="90"/>
  <c r="Z45" i="90" s="1"/>
  <c r="L45" i="90"/>
  <c r="N45" i="90" s="1"/>
  <c r="B45" i="90"/>
  <c r="X44" i="90"/>
  <c r="Z44" i="90" s="1"/>
  <c r="N44" i="90"/>
  <c r="L44" i="90"/>
  <c r="B44" i="90"/>
  <c r="Z43" i="90"/>
  <c r="X43" i="90"/>
  <c r="N43" i="90"/>
  <c r="L43" i="90"/>
  <c r="B43" i="90"/>
  <c r="Z42" i="90"/>
  <c r="X42" i="90"/>
  <c r="N42" i="90"/>
  <c r="L42" i="90"/>
  <c r="B42" i="90"/>
  <c r="X41" i="90"/>
  <c r="Z41" i="90" s="1"/>
  <c r="L41" i="90"/>
  <c r="N41" i="90" s="1"/>
  <c r="B41" i="90"/>
  <c r="Z40" i="90"/>
  <c r="X40" i="90"/>
  <c r="N40" i="90"/>
  <c r="L40" i="90"/>
  <c r="B40" i="90"/>
  <c r="X39" i="90"/>
  <c r="Z39" i="90" s="1"/>
  <c r="N39" i="90"/>
  <c r="L39" i="90"/>
  <c r="B39" i="90"/>
  <c r="Z38" i="90"/>
  <c r="X38" i="90"/>
  <c r="N38" i="90"/>
  <c r="L38" i="90"/>
  <c r="B38" i="90"/>
  <c r="T37" i="90"/>
  <c r="P37" i="90"/>
  <c r="H37" i="90"/>
  <c r="D37" i="90"/>
  <c r="L37" i="90" s="1"/>
  <c r="B37" i="90"/>
  <c r="Z36" i="90"/>
  <c r="X36" i="90"/>
  <c r="N36" i="90"/>
  <c r="L36" i="90"/>
  <c r="J36" i="90"/>
  <c r="B36" i="90"/>
  <c r="X35" i="90"/>
  <c r="Z35" i="90" s="1"/>
  <c r="L35" i="90"/>
  <c r="N35" i="90" s="1"/>
  <c r="J35" i="90"/>
  <c r="B35" i="90"/>
  <c r="Z34" i="90"/>
  <c r="X34" i="90"/>
  <c r="N34" i="90"/>
  <c r="L34" i="90"/>
  <c r="B34" i="90"/>
  <c r="Z33" i="90"/>
  <c r="X33" i="90"/>
  <c r="N33" i="90"/>
  <c r="L33" i="90"/>
  <c r="B33" i="90"/>
  <c r="Z32" i="90"/>
  <c r="X32" i="90"/>
  <c r="N32" i="90"/>
  <c r="L32" i="90"/>
  <c r="B32" i="90"/>
  <c r="X31" i="90"/>
  <c r="Z31" i="90" s="1"/>
  <c r="L31" i="90"/>
  <c r="N31" i="90" s="1"/>
  <c r="B31" i="90"/>
  <c r="Z30" i="90"/>
  <c r="X30" i="90"/>
  <c r="N30" i="90"/>
  <c r="L30" i="90"/>
  <c r="J30" i="90"/>
  <c r="F30" i="90"/>
  <c r="B30" i="90"/>
  <c r="Z29" i="90"/>
  <c r="X29" i="90"/>
  <c r="L29" i="90"/>
  <c r="N29" i="90" s="1"/>
  <c r="J29" i="90"/>
  <c r="B29" i="90"/>
  <c r="Z28" i="90"/>
  <c r="X28" i="90"/>
  <c r="N28" i="90"/>
  <c r="L28" i="90"/>
  <c r="J28" i="90"/>
  <c r="B28" i="90"/>
  <c r="X27" i="90"/>
  <c r="Z27" i="90" s="1"/>
  <c r="N27" i="90"/>
  <c r="L27" i="90"/>
  <c r="J27" i="90"/>
  <c r="B27" i="90"/>
  <c r="V26" i="90"/>
  <c r="T26" i="90"/>
  <c r="P26" i="90"/>
  <c r="X26" i="90" s="1"/>
  <c r="H26" i="90"/>
  <c r="F26" i="90"/>
  <c r="D26" i="90"/>
  <c r="L26" i="90" s="1"/>
  <c r="N26" i="90" s="1"/>
  <c r="B26" i="90"/>
  <c r="T25" i="90"/>
  <c r="P25" i="90"/>
  <c r="X25" i="90" s="1"/>
  <c r="Z25" i="90" s="1"/>
  <c r="L25" i="90"/>
  <c r="N25" i="90" s="1"/>
  <c r="J25" i="90"/>
  <c r="H25" i="90"/>
  <c r="D25" i="90"/>
  <c r="H23" i="90"/>
  <c r="D23" i="90"/>
  <c r="Z21" i="90"/>
  <c r="X21" i="90"/>
  <c r="N21" i="90"/>
  <c r="L21" i="90"/>
  <c r="J21" i="90"/>
  <c r="B21" i="90"/>
  <c r="Z20" i="90"/>
  <c r="X20" i="90"/>
  <c r="N20" i="90"/>
  <c r="L20" i="90"/>
  <c r="J20" i="90"/>
  <c r="B20" i="90"/>
  <c r="X19" i="90"/>
  <c r="Z19" i="90" s="1"/>
  <c r="N19" i="90"/>
  <c r="L19" i="90"/>
  <c r="J19" i="90"/>
  <c r="B19" i="90"/>
  <c r="T18" i="90"/>
  <c r="P18" i="90"/>
  <c r="X18" i="90" s="1"/>
  <c r="J18" i="90"/>
  <c r="H18" i="90"/>
  <c r="D18" i="90"/>
  <c r="L18" i="90" s="1"/>
  <c r="N18" i="90" s="1"/>
  <c r="Z16" i="90"/>
  <c r="X16" i="90"/>
  <c r="P16" i="90"/>
  <c r="N16" i="90"/>
  <c r="L16" i="90"/>
  <c r="D16" i="90"/>
  <c r="B16" i="90"/>
  <c r="Z15" i="90"/>
  <c r="X15" i="90"/>
  <c r="P15" i="90"/>
  <c r="N15" i="90"/>
  <c r="D15" i="90"/>
  <c r="L15" i="90" s="1"/>
  <c r="B15" i="90"/>
  <c r="Z14" i="90"/>
  <c r="X14" i="90"/>
  <c r="P14" i="90"/>
  <c r="N14" i="90"/>
  <c r="L14" i="90"/>
  <c r="D14" i="90"/>
  <c r="B14" i="90"/>
  <c r="Z13" i="90"/>
  <c r="X13" i="90"/>
  <c r="P13" i="90"/>
  <c r="N13" i="90"/>
  <c r="L13" i="90"/>
  <c r="D13" i="90"/>
  <c r="D12" i="90" s="1"/>
  <c r="F71" i="90" s="1"/>
  <c r="B13" i="90"/>
  <c r="T12" i="90"/>
  <c r="V88" i="90" s="1"/>
  <c r="P12" i="90"/>
  <c r="R71" i="90" s="1"/>
  <c r="H12" i="90"/>
  <c r="D6" i="90"/>
  <c r="D4" i="90"/>
  <c r="X94" i="89"/>
  <c r="Z94" i="89" s="1"/>
  <c r="V94" i="89"/>
  <c r="N94" i="89"/>
  <c r="L94" i="89"/>
  <c r="Z90" i="89"/>
  <c r="T90" i="89"/>
  <c r="P90" i="89"/>
  <c r="X90" i="89" s="1"/>
  <c r="N90" i="89"/>
  <c r="L90" i="89"/>
  <c r="H90" i="89"/>
  <c r="D90" i="89"/>
  <c r="Z88" i="89"/>
  <c r="X88" i="89"/>
  <c r="L88" i="89"/>
  <c r="N88" i="89" s="1"/>
  <c r="B88" i="89"/>
  <c r="X87" i="89"/>
  <c r="Z87" i="89" s="1"/>
  <c r="T87" i="89"/>
  <c r="P87" i="89"/>
  <c r="H87" i="89"/>
  <c r="D87" i="89"/>
  <c r="B87" i="89"/>
  <c r="Z86" i="89"/>
  <c r="X86" i="89"/>
  <c r="V86" i="89"/>
  <c r="N86" i="89"/>
  <c r="L86" i="89"/>
  <c r="B86" i="89"/>
  <c r="T85" i="89"/>
  <c r="P85" i="89"/>
  <c r="H85" i="89"/>
  <c r="D85" i="89"/>
  <c r="L85" i="89" s="1"/>
  <c r="B85" i="89"/>
  <c r="X84" i="89"/>
  <c r="Z84" i="89" s="1"/>
  <c r="L84" i="89"/>
  <c r="N84" i="89" s="1"/>
  <c r="B84" i="89"/>
  <c r="Z83" i="89"/>
  <c r="X83" i="89"/>
  <c r="N83" i="89"/>
  <c r="L83" i="89"/>
  <c r="B83" i="89"/>
  <c r="Z82" i="89"/>
  <c r="X82" i="89"/>
  <c r="N82" i="89"/>
  <c r="L82" i="89"/>
  <c r="B82" i="89"/>
  <c r="X81" i="89"/>
  <c r="Z81" i="89" s="1"/>
  <c r="V81" i="89"/>
  <c r="N81" i="89"/>
  <c r="L81" i="89"/>
  <c r="B81" i="89"/>
  <c r="X80" i="89"/>
  <c r="Z80" i="89" s="1"/>
  <c r="V80" i="89"/>
  <c r="L80" i="89"/>
  <c r="N80" i="89" s="1"/>
  <c r="B80" i="89"/>
  <c r="X79" i="89"/>
  <c r="Z79" i="89" s="1"/>
  <c r="L79" i="89"/>
  <c r="N79" i="89" s="1"/>
  <c r="B79" i="89"/>
  <c r="Z78" i="89"/>
  <c r="X78" i="89"/>
  <c r="N78" i="89"/>
  <c r="L78" i="89"/>
  <c r="B78" i="89"/>
  <c r="Z77" i="89"/>
  <c r="X77" i="89"/>
  <c r="N77" i="89"/>
  <c r="L77" i="89"/>
  <c r="F77" i="89"/>
  <c r="B77" i="89"/>
  <c r="T76" i="89"/>
  <c r="P76" i="89"/>
  <c r="X76" i="89" s="1"/>
  <c r="N76" i="89"/>
  <c r="L76" i="89"/>
  <c r="H76" i="89"/>
  <c r="D76" i="89"/>
  <c r="B76" i="89"/>
  <c r="X75" i="89"/>
  <c r="Z75" i="89" s="1"/>
  <c r="N75" i="89"/>
  <c r="L75" i="89"/>
  <c r="B75" i="89"/>
  <c r="Z74" i="89"/>
  <c r="T74" i="89"/>
  <c r="P74" i="89"/>
  <c r="X74" i="89" s="1"/>
  <c r="N74" i="89"/>
  <c r="L74" i="89"/>
  <c r="H74" i="89"/>
  <c r="D74" i="89"/>
  <c r="B74" i="89"/>
  <c r="Z73" i="89"/>
  <c r="X73" i="89"/>
  <c r="V73" i="89"/>
  <c r="N73" i="89"/>
  <c r="L73" i="89"/>
  <c r="B73" i="89"/>
  <c r="Z72" i="89"/>
  <c r="X72" i="89"/>
  <c r="L72" i="89"/>
  <c r="N72" i="89" s="1"/>
  <c r="F72" i="89"/>
  <c r="B72" i="89"/>
  <c r="Z71" i="89"/>
  <c r="X71" i="89"/>
  <c r="L71" i="89"/>
  <c r="N71" i="89" s="1"/>
  <c r="B71" i="89"/>
  <c r="Z70" i="89"/>
  <c r="X70" i="89"/>
  <c r="L70" i="89"/>
  <c r="N70" i="89" s="1"/>
  <c r="B70" i="89"/>
  <c r="T69" i="89"/>
  <c r="P69" i="89"/>
  <c r="X69" i="89" s="1"/>
  <c r="Z69" i="89" s="1"/>
  <c r="N69" i="89"/>
  <c r="L69" i="89"/>
  <c r="H69" i="89"/>
  <c r="D69" i="89"/>
  <c r="B69" i="89"/>
  <c r="X68" i="89"/>
  <c r="Z68" i="89" s="1"/>
  <c r="V68" i="89"/>
  <c r="L68" i="89"/>
  <c r="N68" i="89" s="1"/>
  <c r="F68" i="89"/>
  <c r="B68" i="89"/>
  <c r="X67" i="89"/>
  <c r="Z67" i="89" s="1"/>
  <c r="V67" i="89"/>
  <c r="N67" i="89"/>
  <c r="L67" i="89"/>
  <c r="B67" i="89"/>
  <c r="X66" i="89"/>
  <c r="Z66" i="89" s="1"/>
  <c r="T66" i="89"/>
  <c r="P66" i="89"/>
  <c r="H66" i="89"/>
  <c r="D66" i="89"/>
  <c r="B66" i="89"/>
  <c r="X65" i="89"/>
  <c r="Z65" i="89" s="1"/>
  <c r="N65" i="89"/>
  <c r="L65" i="89"/>
  <c r="B65" i="89"/>
  <c r="X64" i="89"/>
  <c r="Z64" i="89" s="1"/>
  <c r="V64" i="89"/>
  <c r="T64" i="89"/>
  <c r="P64" i="89"/>
  <c r="N64" i="89"/>
  <c r="H64" i="89"/>
  <c r="D64" i="89"/>
  <c r="L64" i="89" s="1"/>
  <c r="B64" i="89"/>
  <c r="X63" i="89"/>
  <c r="Z63" i="89" s="1"/>
  <c r="V63" i="89"/>
  <c r="L63" i="89"/>
  <c r="N63" i="89" s="1"/>
  <c r="J63" i="89"/>
  <c r="B63" i="89"/>
  <c r="V62" i="89"/>
  <c r="T62" i="89"/>
  <c r="P62" i="89"/>
  <c r="X62" i="89" s="1"/>
  <c r="J62" i="89"/>
  <c r="H62" i="89"/>
  <c r="D62" i="89"/>
  <c r="L62" i="89" s="1"/>
  <c r="B62" i="89"/>
  <c r="Z61" i="89"/>
  <c r="X61" i="89"/>
  <c r="V61" i="89"/>
  <c r="N61" i="89"/>
  <c r="L61" i="89"/>
  <c r="J61" i="89"/>
  <c r="B61" i="89"/>
  <c r="T60" i="89"/>
  <c r="P60" i="89"/>
  <c r="N60" i="89"/>
  <c r="H60" i="89"/>
  <c r="F60" i="89"/>
  <c r="D60" i="89"/>
  <c r="L60" i="89" s="1"/>
  <c r="B60" i="89"/>
  <c r="Z59" i="89"/>
  <c r="X59" i="89"/>
  <c r="V59" i="89"/>
  <c r="N59" i="89"/>
  <c r="L59" i="89"/>
  <c r="J59" i="89"/>
  <c r="B59" i="89"/>
  <c r="T58" i="89"/>
  <c r="P58" i="89"/>
  <c r="X58" i="89" s="1"/>
  <c r="L58" i="89"/>
  <c r="N58" i="89" s="1"/>
  <c r="J58" i="89"/>
  <c r="H58" i="89"/>
  <c r="D58" i="89"/>
  <c r="B58" i="89"/>
  <c r="X57" i="89"/>
  <c r="Z57" i="89" s="1"/>
  <c r="V57" i="89"/>
  <c r="N57" i="89"/>
  <c r="L57" i="89"/>
  <c r="F57" i="89"/>
  <c r="B57" i="89"/>
  <c r="T56" i="89"/>
  <c r="P56" i="89"/>
  <c r="L56" i="89"/>
  <c r="H56" i="89"/>
  <c r="F56" i="89"/>
  <c r="D56" i="89"/>
  <c r="B56" i="89"/>
  <c r="Z55" i="89"/>
  <c r="X55" i="89"/>
  <c r="V55" i="89"/>
  <c r="L55" i="89"/>
  <c r="N55" i="89" s="1"/>
  <c r="J55" i="89"/>
  <c r="F55" i="89"/>
  <c r="B55" i="89"/>
  <c r="T54" i="89"/>
  <c r="P54" i="89"/>
  <c r="X54" i="89" s="1"/>
  <c r="H54" i="89"/>
  <c r="D54" i="89"/>
  <c r="B54" i="89"/>
  <c r="X53" i="89"/>
  <c r="Z53" i="89" s="1"/>
  <c r="N53" i="89"/>
  <c r="L53" i="89"/>
  <c r="F53" i="89"/>
  <c r="B53" i="89"/>
  <c r="T52" i="89"/>
  <c r="P52" i="89"/>
  <c r="H52" i="89"/>
  <c r="D52" i="89"/>
  <c r="L52" i="89" s="1"/>
  <c r="N52" i="89" s="1"/>
  <c r="B52" i="89"/>
  <c r="X51" i="89"/>
  <c r="Z51" i="89" s="1"/>
  <c r="V51" i="89"/>
  <c r="N51" i="89"/>
  <c r="L51" i="89"/>
  <c r="J51" i="89"/>
  <c r="B51" i="89"/>
  <c r="Z50" i="89"/>
  <c r="V50" i="89"/>
  <c r="T50" i="89"/>
  <c r="P50" i="89"/>
  <c r="X50" i="89" s="1"/>
  <c r="H50" i="89"/>
  <c r="F50" i="89"/>
  <c r="D50" i="89"/>
  <c r="B50" i="89"/>
  <c r="Z49" i="89"/>
  <c r="X49" i="89"/>
  <c r="L49" i="89"/>
  <c r="N49" i="89" s="1"/>
  <c r="B49" i="89"/>
  <c r="V48" i="89"/>
  <c r="T48" i="89"/>
  <c r="P48" i="89"/>
  <c r="H48" i="89"/>
  <c r="D48" i="89"/>
  <c r="L48" i="89" s="1"/>
  <c r="B48" i="89"/>
  <c r="Z47" i="89"/>
  <c r="X47" i="89"/>
  <c r="V47" i="89"/>
  <c r="N47" i="89"/>
  <c r="L47" i="89"/>
  <c r="J47" i="89"/>
  <c r="F47" i="89"/>
  <c r="B47" i="89"/>
  <c r="Z46" i="89"/>
  <c r="X46" i="89"/>
  <c r="N46" i="89"/>
  <c r="L46" i="89"/>
  <c r="B46" i="89"/>
  <c r="Z45" i="89"/>
  <c r="X45" i="89"/>
  <c r="L45" i="89"/>
  <c r="N45" i="89" s="1"/>
  <c r="B45" i="89"/>
  <c r="X44" i="89"/>
  <c r="Z44" i="89" s="1"/>
  <c r="V44" i="89"/>
  <c r="N44" i="89"/>
  <c r="L44" i="89"/>
  <c r="B44" i="89"/>
  <c r="Z43" i="89"/>
  <c r="X43" i="89"/>
  <c r="V43" i="89"/>
  <c r="N43" i="89"/>
  <c r="L43" i="89"/>
  <c r="B43" i="89"/>
  <c r="Z42" i="89"/>
  <c r="X42" i="89"/>
  <c r="V42" i="89"/>
  <c r="L42" i="89"/>
  <c r="N42" i="89" s="1"/>
  <c r="B42" i="89"/>
  <c r="Z41" i="89"/>
  <c r="X41" i="89"/>
  <c r="N41" i="89"/>
  <c r="L41" i="89"/>
  <c r="B41" i="89"/>
  <c r="Z40" i="89"/>
  <c r="X40" i="89"/>
  <c r="N40" i="89"/>
  <c r="L40" i="89"/>
  <c r="J40" i="89"/>
  <c r="B40" i="89"/>
  <c r="Z39" i="89"/>
  <c r="X39" i="89"/>
  <c r="V39" i="89"/>
  <c r="L39" i="89"/>
  <c r="N39" i="89" s="1"/>
  <c r="B39" i="89"/>
  <c r="Z38" i="89"/>
  <c r="X38" i="89"/>
  <c r="N38" i="89"/>
  <c r="L38" i="89"/>
  <c r="B38" i="89"/>
  <c r="T37" i="89"/>
  <c r="P37" i="89"/>
  <c r="X37" i="89" s="1"/>
  <c r="Z37" i="89" s="1"/>
  <c r="J37" i="89"/>
  <c r="H37" i="89"/>
  <c r="N37" i="89" s="1"/>
  <c r="D37" i="89"/>
  <c r="L37" i="89" s="1"/>
  <c r="B37" i="89"/>
  <c r="Z36" i="89"/>
  <c r="X36" i="89"/>
  <c r="L36" i="89"/>
  <c r="N36" i="89" s="1"/>
  <c r="J36" i="89"/>
  <c r="B36" i="89"/>
  <c r="Z35" i="89"/>
  <c r="X35" i="89"/>
  <c r="V35" i="89"/>
  <c r="L35" i="89"/>
  <c r="N35" i="89" s="1"/>
  <c r="J35" i="89"/>
  <c r="F35" i="89"/>
  <c r="B35" i="89"/>
  <c r="X34" i="89"/>
  <c r="Z34" i="89" s="1"/>
  <c r="L34" i="89"/>
  <c r="N34" i="89" s="1"/>
  <c r="B34" i="89"/>
  <c r="Z33" i="89"/>
  <c r="X33" i="89"/>
  <c r="N33" i="89"/>
  <c r="L33" i="89"/>
  <c r="B33" i="89"/>
  <c r="Z32" i="89"/>
  <c r="X32" i="89"/>
  <c r="V32" i="89"/>
  <c r="N32" i="89"/>
  <c r="L32" i="89"/>
  <c r="B32" i="89"/>
  <c r="X31" i="89"/>
  <c r="Z31" i="89" s="1"/>
  <c r="V31" i="89"/>
  <c r="N31" i="89"/>
  <c r="L31" i="89"/>
  <c r="B31" i="89"/>
  <c r="Z30" i="89"/>
  <c r="X30" i="89"/>
  <c r="V30" i="89"/>
  <c r="L30" i="89"/>
  <c r="N30" i="89" s="1"/>
  <c r="B30" i="89"/>
  <c r="Z29" i="89"/>
  <c r="X29" i="89"/>
  <c r="N29" i="89"/>
  <c r="L29" i="89"/>
  <c r="B29" i="89"/>
  <c r="Z28" i="89"/>
  <c r="X28" i="89"/>
  <c r="L28" i="89"/>
  <c r="N28" i="89" s="1"/>
  <c r="J28" i="89"/>
  <c r="B28" i="89"/>
  <c r="Z27" i="89"/>
  <c r="X27" i="89"/>
  <c r="V27" i="89"/>
  <c r="L27" i="89"/>
  <c r="N27" i="89" s="1"/>
  <c r="B27" i="89"/>
  <c r="T26" i="89"/>
  <c r="Z26" i="89" s="1"/>
  <c r="P26" i="89"/>
  <c r="X26" i="89" s="1"/>
  <c r="H26" i="89"/>
  <c r="N26" i="89" s="1"/>
  <c r="D26" i="89"/>
  <c r="L26" i="89" s="1"/>
  <c r="B26" i="89"/>
  <c r="X25" i="89"/>
  <c r="Z25" i="89" s="1"/>
  <c r="T25" i="89"/>
  <c r="P25" i="89"/>
  <c r="H25" i="89"/>
  <c r="D25" i="89"/>
  <c r="T23" i="89"/>
  <c r="T92" i="89" s="1"/>
  <c r="Z21" i="89"/>
  <c r="X21" i="89"/>
  <c r="N21" i="89"/>
  <c r="L21" i="89"/>
  <c r="F21" i="89"/>
  <c r="B21" i="89"/>
  <c r="Z20" i="89"/>
  <c r="X20" i="89"/>
  <c r="N20" i="89"/>
  <c r="L20" i="89"/>
  <c r="J20" i="89"/>
  <c r="F20" i="89"/>
  <c r="B20" i="89"/>
  <c r="X19" i="89"/>
  <c r="Z19" i="89" s="1"/>
  <c r="V19" i="89"/>
  <c r="L19" i="89"/>
  <c r="N19" i="89" s="1"/>
  <c r="J19" i="89"/>
  <c r="F19" i="89"/>
  <c r="B19" i="89"/>
  <c r="X18" i="89"/>
  <c r="T18" i="89"/>
  <c r="P18" i="89"/>
  <c r="H18" i="89"/>
  <c r="D18" i="89"/>
  <c r="L18" i="89" s="1"/>
  <c r="N18" i="89" s="1"/>
  <c r="Z16" i="89"/>
  <c r="X16" i="89"/>
  <c r="P16" i="89"/>
  <c r="N16" i="89"/>
  <c r="D16" i="89"/>
  <c r="L16" i="89" s="1"/>
  <c r="B16" i="89"/>
  <c r="Z15" i="89"/>
  <c r="X15" i="89"/>
  <c r="P15" i="89"/>
  <c r="N15" i="89"/>
  <c r="D15" i="89"/>
  <c r="L15" i="89" s="1"/>
  <c r="B15" i="89"/>
  <c r="P14" i="89"/>
  <c r="N14" i="89"/>
  <c r="L14" i="89"/>
  <c r="D14" i="89"/>
  <c r="B14" i="89"/>
  <c r="Z13" i="89"/>
  <c r="P13" i="89"/>
  <c r="X13" i="89" s="1"/>
  <c r="N13" i="89"/>
  <c r="D13" i="89"/>
  <c r="D12" i="89" s="1"/>
  <c r="F67" i="89" s="1"/>
  <c r="B13" i="89"/>
  <c r="T12" i="89"/>
  <c r="V72" i="89" s="1"/>
  <c r="H12" i="89"/>
  <c r="J39" i="89" s="1"/>
  <c r="D6" i="89"/>
  <c r="D4" i="89"/>
  <c r="X91" i="88"/>
  <c r="Z91" i="88" s="1"/>
  <c r="N91" i="88"/>
  <c r="L91" i="88"/>
  <c r="T87" i="88"/>
  <c r="Z87" i="88" s="1"/>
  <c r="P87" i="88"/>
  <c r="X87" i="88" s="1"/>
  <c r="N87" i="88"/>
  <c r="H87" i="88"/>
  <c r="D87" i="88"/>
  <c r="L87" i="88" s="1"/>
  <c r="X85" i="88"/>
  <c r="Z85" i="88" s="1"/>
  <c r="V85" i="88"/>
  <c r="N85" i="88"/>
  <c r="L85" i="88"/>
  <c r="B85" i="88"/>
  <c r="T84" i="88"/>
  <c r="P84" i="88"/>
  <c r="N84" i="88"/>
  <c r="H84" i="88"/>
  <c r="D84" i="88"/>
  <c r="L84" i="88" s="1"/>
  <c r="B84" i="88"/>
  <c r="X83" i="88"/>
  <c r="Z83" i="88" s="1"/>
  <c r="L83" i="88"/>
  <c r="N83" i="88" s="1"/>
  <c r="J83" i="88"/>
  <c r="B83" i="88"/>
  <c r="Z82" i="88"/>
  <c r="X82" i="88"/>
  <c r="N82" i="88"/>
  <c r="L82" i="88"/>
  <c r="B82" i="88"/>
  <c r="X81" i="88"/>
  <c r="Z81" i="88" s="1"/>
  <c r="N81" i="88"/>
  <c r="L81" i="88"/>
  <c r="B81" i="88"/>
  <c r="X80" i="88"/>
  <c r="Z80" i="88" s="1"/>
  <c r="V80" i="88"/>
  <c r="L80" i="88"/>
  <c r="N80" i="88" s="1"/>
  <c r="B80" i="88"/>
  <c r="X79" i="88"/>
  <c r="Z79" i="88" s="1"/>
  <c r="V79" i="88"/>
  <c r="L79" i="88"/>
  <c r="N79" i="88" s="1"/>
  <c r="B79" i="88"/>
  <c r="X78" i="88"/>
  <c r="Z78" i="88" s="1"/>
  <c r="N78" i="88"/>
  <c r="L78" i="88"/>
  <c r="B78" i="88"/>
  <c r="Z77" i="88"/>
  <c r="X77" i="88"/>
  <c r="L77" i="88"/>
  <c r="N77" i="88" s="1"/>
  <c r="B77" i="88"/>
  <c r="Z76" i="88"/>
  <c r="X76" i="88"/>
  <c r="N76" i="88"/>
  <c r="L76" i="88"/>
  <c r="B76" i="88"/>
  <c r="X75" i="88"/>
  <c r="T75" i="88"/>
  <c r="P75" i="88"/>
  <c r="H75" i="88"/>
  <c r="D75" i="88"/>
  <c r="B75" i="88"/>
  <c r="Z74" i="88"/>
  <c r="X74" i="88"/>
  <c r="N74" i="88"/>
  <c r="L74" i="88"/>
  <c r="B74" i="88"/>
  <c r="Z73" i="88"/>
  <c r="X73" i="88"/>
  <c r="L73" i="88"/>
  <c r="N73" i="88" s="1"/>
  <c r="B73" i="88"/>
  <c r="Z72" i="88"/>
  <c r="X72" i="88"/>
  <c r="V72" i="88"/>
  <c r="L72" i="88"/>
  <c r="N72" i="88" s="1"/>
  <c r="J72" i="88"/>
  <c r="B72" i="88"/>
  <c r="X71" i="88"/>
  <c r="Z71" i="88" s="1"/>
  <c r="N71" i="88"/>
  <c r="L71" i="88"/>
  <c r="J71" i="88"/>
  <c r="B71" i="88"/>
  <c r="Z70" i="88"/>
  <c r="T70" i="88"/>
  <c r="P70" i="88"/>
  <c r="X70" i="88" s="1"/>
  <c r="H70" i="88"/>
  <c r="D70" i="88"/>
  <c r="L70" i="88" s="1"/>
  <c r="B70" i="88"/>
  <c r="Z69" i="88"/>
  <c r="X69" i="88"/>
  <c r="L69" i="88"/>
  <c r="N69" i="88" s="1"/>
  <c r="B69" i="88"/>
  <c r="Z68" i="88"/>
  <c r="X68" i="88"/>
  <c r="N68" i="88"/>
  <c r="L68" i="88"/>
  <c r="B68" i="88"/>
  <c r="Z67" i="88"/>
  <c r="X67" i="88"/>
  <c r="N67" i="88"/>
  <c r="L67" i="88"/>
  <c r="B67" i="88"/>
  <c r="T66" i="88"/>
  <c r="P66" i="88"/>
  <c r="H66" i="88"/>
  <c r="D66" i="88"/>
  <c r="L66" i="88" s="1"/>
  <c r="N66" i="88" s="1"/>
  <c r="B66" i="88"/>
  <c r="Z65" i="88"/>
  <c r="X65" i="88"/>
  <c r="L65" i="88"/>
  <c r="N65" i="88" s="1"/>
  <c r="B65" i="88"/>
  <c r="T64" i="88"/>
  <c r="P64" i="88"/>
  <c r="X64" i="88" s="1"/>
  <c r="N64" i="88"/>
  <c r="L64" i="88"/>
  <c r="H64" i="88"/>
  <c r="D64" i="88"/>
  <c r="B64" i="88"/>
  <c r="Z63" i="88"/>
  <c r="X63" i="88"/>
  <c r="V63" i="88"/>
  <c r="L63" i="88"/>
  <c r="N63" i="88" s="1"/>
  <c r="B63" i="88"/>
  <c r="Z62" i="88"/>
  <c r="X62" i="88"/>
  <c r="T62" i="88"/>
  <c r="P62" i="88"/>
  <c r="H62" i="88"/>
  <c r="D62" i="88"/>
  <c r="B62" i="88"/>
  <c r="Z61" i="88"/>
  <c r="X61" i="88"/>
  <c r="V61" i="88"/>
  <c r="N61" i="88"/>
  <c r="L61" i="88"/>
  <c r="B61" i="88"/>
  <c r="X60" i="88"/>
  <c r="V60" i="88"/>
  <c r="T60" i="88"/>
  <c r="P60" i="88"/>
  <c r="H60" i="88"/>
  <c r="D60" i="88"/>
  <c r="L60" i="88" s="1"/>
  <c r="B60" i="88"/>
  <c r="X59" i="88"/>
  <c r="Z59" i="88" s="1"/>
  <c r="N59" i="88"/>
  <c r="L59" i="88"/>
  <c r="J59" i="88"/>
  <c r="B59" i="88"/>
  <c r="T58" i="88"/>
  <c r="P58" i="88"/>
  <c r="X58" i="88" s="1"/>
  <c r="H58" i="88"/>
  <c r="N58" i="88" s="1"/>
  <c r="D58" i="88"/>
  <c r="L58" i="88" s="1"/>
  <c r="B58" i="88"/>
  <c r="Z57" i="88"/>
  <c r="X57" i="88"/>
  <c r="N57" i="88"/>
  <c r="L57" i="88"/>
  <c r="J57" i="88"/>
  <c r="B57" i="88"/>
  <c r="T56" i="88"/>
  <c r="Z56" i="88" s="1"/>
  <c r="P56" i="88"/>
  <c r="X56" i="88" s="1"/>
  <c r="L56" i="88"/>
  <c r="N56" i="88" s="1"/>
  <c r="H56" i="88"/>
  <c r="D56" i="88"/>
  <c r="B56" i="88"/>
  <c r="Z55" i="88"/>
  <c r="X55" i="88"/>
  <c r="V55" i="88"/>
  <c r="N55" i="88"/>
  <c r="L55" i="88"/>
  <c r="B55" i="88"/>
  <c r="Z54" i="88"/>
  <c r="X54" i="88"/>
  <c r="T54" i="88"/>
  <c r="P54" i="88"/>
  <c r="H54" i="88"/>
  <c r="D54" i="88"/>
  <c r="B54" i="88"/>
  <c r="Z53" i="88"/>
  <c r="X53" i="88"/>
  <c r="V53" i="88"/>
  <c r="N53" i="88"/>
  <c r="L53" i="88"/>
  <c r="B53" i="88"/>
  <c r="X52" i="88"/>
  <c r="V52" i="88"/>
  <c r="T52" i="88"/>
  <c r="P52" i="88"/>
  <c r="H52" i="88"/>
  <c r="D52" i="88"/>
  <c r="L52" i="88" s="1"/>
  <c r="B52" i="88"/>
  <c r="X51" i="88"/>
  <c r="Z51" i="88" s="1"/>
  <c r="L51" i="88"/>
  <c r="N51" i="88" s="1"/>
  <c r="J51" i="88"/>
  <c r="B51" i="88"/>
  <c r="T50" i="88"/>
  <c r="P50" i="88"/>
  <c r="X50" i="88" s="1"/>
  <c r="H50" i="88"/>
  <c r="N50" i="88" s="1"/>
  <c r="D50" i="88"/>
  <c r="L50" i="88" s="1"/>
  <c r="B50" i="88"/>
  <c r="Z49" i="88"/>
  <c r="X49" i="88"/>
  <c r="N49" i="88"/>
  <c r="L49" i="88"/>
  <c r="J49" i="88"/>
  <c r="F49" i="88"/>
  <c r="B49" i="88"/>
  <c r="T48" i="88"/>
  <c r="Z48" i="88" s="1"/>
  <c r="P48" i="88"/>
  <c r="X48" i="88" s="1"/>
  <c r="N48" i="88"/>
  <c r="L48" i="88"/>
  <c r="H48" i="88"/>
  <c r="D48" i="88"/>
  <c r="B48" i="88"/>
  <c r="Z47" i="88"/>
  <c r="X47" i="88"/>
  <c r="V47" i="88"/>
  <c r="N47" i="88"/>
  <c r="L47" i="88"/>
  <c r="B47" i="88"/>
  <c r="Z46" i="88"/>
  <c r="X46" i="88"/>
  <c r="N46" i="88"/>
  <c r="L46" i="88"/>
  <c r="B46" i="88"/>
  <c r="Z45" i="88"/>
  <c r="X45" i="88"/>
  <c r="N45" i="88"/>
  <c r="L45" i="88"/>
  <c r="J45" i="88"/>
  <c r="B45" i="88"/>
  <c r="Z44" i="88"/>
  <c r="X44" i="88"/>
  <c r="N44" i="88"/>
  <c r="L44" i="88"/>
  <c r="J44" i="88"/>
  <c r="B44" i="88"/>
  <c r="Z43" i="88"/>
  <c r="X43" i="88"/>
  <c r="N43" i="88"/>
  <c r="L43" i="88"/>
  <c r="J43" i="88"/>
  <c r="B43" i="88"/>
  <c r="Z42" i="88"/>
  <c r="X42" i="88"/>
  <c r="N42" i="88"/>
  <c r="L42" i="88"/>
  <c r="B42" i="88"/>
  <c r="Z41" i="88"/>
  <c r="X41" i="88"/>
  <c r="V41" i="88"/>
  <c r="N41" i="88"/>
  <c r="L41" i="88"/>
  <c r="B41" i="88"/>
  <c r="Z40" i="88"/>
  <c r="X40" i="88"/>
  <c r="V40" i="88"/>
  <c r="N40" i="88"/>
  <c r="L40" i="88"/>
  <c r="B40" i="88"/>
  <c r="X39" i="88"/>
  <c r="Z39" i="88" s="1"/>
  <c r="V39" i="88"/>
  <c r="L39" i="88"/>
  <c r="N39" i="88" s="1"/>
  <c r="B39" i="88"/>
  <c r="Z38" i="88"/>
  <c r="X38" i="88"/>
  <c r="N38" i="88"/>
  <c r="L38" i="88"/>
  <c r="F38" i="88"/>
  <c r="B38" i="88"/>
  <c r="Z37" i="88"/>
  <c r="T37" i="88"/>
  <c r="P37" i="88"/>
  <c r="X37" i="88" s="1"/>
  <c r="N37" i="88"/>
  <c r="L37" i="88"/>
  <c r="J37" i="88"/>
  <c r="H37" i="88"/>
  <c r="D37" i="88"/>
  <c r="B37" i="88"/>
  <c r="Z36" i="88"/>
  <c r="X36" i="88"/>
  <c r="V36" i="88"/>
  <c r="N36" i="88"/>
  <c r="L36" i="88"/>
  <c r="B36" i="88"/>
  <c r="Z35" i="88"/>
  <c r="X35" i="88"/>
  <c r="V35" i="88"/>
  <c r="L35" i="88"/>
  <c r="N35" i="88" s="1"/>
  <c r="B35" i="88"/>
  <c r="X34" i="88"/>
  <c r="Z34" i="88" s="1"/>
  <c r="L34" i="88"/>
  <c r="N34" i="88" s="1"/>
  <c r="F34" i="88"/>
  <c r="B34" i="88"/>
  <c r="Z33" i="88"/>
  <c r="X33" i="88"/>
  <c r="N33" i="88"/>
  <c r="L33" i="88"/>
  <c r="J33" i="88"/>
  <c r="B33" i="88"/>
  <c r="Z32" i="88"/>
  <c r="X32" i="88"/>
  <c r="N32" i="88"/>
  <c r="L32" i="88"/>
  <c r="J32" i="88"/>
  <c r="B32" i="88"/>
  <c r="X31" i="88"/>
  <c r="Z31" i="88" s="1"/>
  <c r="N31" i="88"/>
  <c r="L31" i="88"/>
  <c r="J31" i="88"/>
  <c r="B31" i="88"/>
  <c r="X30" i="88"/>
  <c r="Z30" i="88" s="1"/>
  <c r="L30" i="88"/>
  <c r="N30" i="88" s="1"/>
  <c r="B30" i="88"/>
  <c r="Z29" i="88"/>
  <c r="X29" i="88"/>
  <c r="V29" i="88"/>
  <c r="N29" i="88"/>
  <c r="L29" i="88"/>
  <c r="B29" i="88"/>
  <c r="X28" i="88"/>
  <c r="Z28" i="88" s="1"/>
  <c r="V28" i="88"/>
  <c r="N28" i="88"/>
  <c r="L28" i="88"/>
  <c r="B28" i="88"/>
  <c r="Z27" i="88"/>
  <c r="X27" i="88"/>
  <c r="V27" i="88"/>
  <c r="L27" i="88"/>
  <c r="N27" i="88" s="1"/>
  <c r="B27" i="88"/>
  <c r="Z26" i="88"/>
  <c r="X26" i="88"/>
  <c r="T26" i="88"/>
  <c r="P26" i="88"/>
  <c r="L26" i="88"/>
  <c r="J26" i="88"/>
  <c r="H26" i="88"/>
  <c r="D26" i="88"/>
  <c r="B26" i="88"/>
  <c r="T25" i="88"/>
  <c r="P25" i="88"/>
  <c r="X25" i="88" s="1"/>
  <c r="H25" i="88"/>
  <c r="N25" i="88" s="1"/>
  <c r="D25" i="88"/>
  <c r="L25" i="88" s="1"/>
  <c r="Z21" i="88"/>
  <c r="X21" i="88"/>
  <c r="V21" i="88"/>
  <c r="N21" i="88"/>
  <c r="L21" i="88"/>
  <c r="B21" i="88"/>
  <c r="Z20" i="88"/>
  <c r="X20" i="88"/>
  <c r="V20" i="88"/>
  <c r="N20" i="88"/>
  <c r="L20" i="88"/>
  <c r="B20" i="88"/>
  <c r="X19" i="88"/>
  <c r="Z19" i="88" s="1"/>
  <c r="V19" i="88"/>
  <c r="L19" i="88"/>
  <c r="N19" i="88" s="1"/>
  <c r="J19" i="88"/>
  <c r="B19" i="88"/>
  <c r="Z18" i="88"/>
  <c r="X18" i="88"/>
  <c r="T18" i="88"/>
  <c r="P18" i="88"/>
  <c r="L18" i="88"/>
  <c r="J18" i="88"/>
  <c r="H18" i="88"/>
  <c r="D18" i="88"/>
  <c r="Z16" i="88"/>
  <c r="X16" i="88"/>
  <c r="P16" i="88"/>
  <c r="N16" i="88"/>
  <c r="L16" i="88"/>
  <c r="D16" i="88"/>
  <c r="B16" i="88"/>
  <c r="Z15" i="88"/>
  <c r="P15" i="88"/>
  <c r="X15" i="88" s="1"/>
  <c r="N15" i="88"/>
  <c r="D15" i="88"/>
  <c r="L15" i="88" s="1"/>
  <c r="B15" i="88"/>
  <c r="P14" i="88"/>
  <c r="X14" i="88" s="1"/>
  <c r="Z14" i="88" s="1"/>
  <c r="D14" i="88"/>
  <c r="L14" i="88" s="1"/>
  <c r="N14" i="88" s="1"/>
  <c r="B14" i="88"/>
  <c r="Z13" i="88"/>
  <c r="X13" i="88"/>
  <c r="P13" i="88"/>
  <c r="N13" i="88"/>
  <c r="L13" i="88"/>
  <c r="D13" i="88"/>
  <c r="B13" i="88"/>
  <c r="T12" i="88"/>
  <c r="V91" i="88" s="1"/>
  <c r="H12" i="88"/>
  <c r="D12" i="88"/>
  <c r="F60" i="88" s="1"/>
  <c r="D6" i="88"/>
  <c r="D4" i="88"/>
  <c r="V63" i="87"/>
  <c r="Z61" i="87"/>
  <c r="X61" i="87"/>
  <c r="N61" i="87"/>
  <c r="L61" i="87"/>
  <c r="F61" i="87"/>
  <c r="T57" i="87"/>
  <c r="P57" i="87"/>
  <c r="H57" i="87"/>
  <c r="N57" i="87" s="1"/>
  <c r="D57" i="87"/>
  <c r="Z55" i="87"/>
  <c r="X55" i="87"/>
  <c r="N55" i="87"/>
  <c r="L55" i="87"/>
  <c r="J55" i="87"/>
  <c r="B55" i="87"/>
  <c r="T54" i="87"/>
  <c r="Z54" i="87" s="1"/>
  <c r="P54" i="87"/>
  <c r="X54" i="87" s="1"/>
  <c r="N54" i="87"/>
  <c r="H54" i="87"/>
  <c r="D54" i="87"/>
  <c r="L54" i="87" s="1"/>
  <c r="B54" i="87"/>
  <c r="Z53" i="87"/>
  <c r="X53" i="87"/>
  <c r="L53" i="87"/>
  <c r="N53" i="87" s="1"/>
  <c r="B53" i="87"/>
  <c r="T52" i="87"/>
  <c r="P52" i="87"/>
  <c r="X52" i="87" s="1"/>
  <c r="Z52" i="87" s="1"/>
  <c r="N52" i="87"/>
  <c r="L52" i="87"/>
  <c r="H52" i="87"/>
  <c r="D52" i="87"/>
  <c r="B52" i="87"/>
  <c r="X51" i="87"/>
  <c r="Z51" i="87" s="1"/>
  <c r="V51" i="87"/>
  <c r="R51" i="87"/>
  <c r="N51" i="87"/>
  <c r="L51" i="87"/>
  <c r="B51" i="87"/>
  <c r="X50" i="87"/>
  <c r="Z50" i="87" s="1"/>
  <c r="V50" i="87"/>
  <c r="L50" i="87"/>
  <c r="N50" i="87" s="1"/>
  <c r="B50" i="87"/>
  <c r="Z49" i="87"/>
  <c r="X49" i="87"/>
  <c r="T49" i="87"/>
  <c r="P49" i="87"/>
  <c r="L49" i="87"/>
  <c r="J49" i="87"/>
  <c r="H49" i="87"/>
  <c r="D49" i="87"/>
  <c r="B49" i="87"/>
  <c r="Z48" i="87"/>
  <c r="X48" i="87"/>
  <c r="R48" i="87"/>
  <c r="N48" i="87"/>
  <c r="L48" i="87"/>
  <c r="B48" i="87"/>
  <c r="X47" i="87"/>
  <c r="Z47" i="87" s="1"/>
  <c r="N47" i="87"/>
  <c r="L47" i="87"/>
  <c r="B47" i="87"/>
  <c r="Z46" i="87"/>
  <c r="X46" i="87"/>
  <c r="T46" i="87"/>
  <c r="P46" i="87"/>
  <c r="H46" i="87"/>
  <c r="F46" i="87"/>
  <c r="D46" i="87"/>
  <c r="B46" i="87"/>
  <c r="X45" i="87"/>
  <c r="Z45" i="87" s="1"/>
  <c r="N45" i="87"/>
  <c r="L45" i="87"/>
  <c r="B45" i="87"/>
  <c r="V44" i="87"/>
  <c r="T44" i="87"/>
  <c r="R44" i="87"/>
  <c r="P44" i="87"/>
  <c r="H44" i="87"/>
  <c r="N44" i="87" s="1"/>
  <c r="D44" i="87"/>
  <c r="L44" i="87" s="1"/>
  <c r="B44" i="87"/>
  <c r="Z43" i="87"/>
  <c r="X43" i="87"/>
  <c r="L43" i="87"/>
  <c r="N43" i="87" s="1"/>
  <c r="B43" i="87"/>
  <c r="T42" i="87"/>
  <c r="R42" i="87"/>
  <c r="P42" i="87"/>
  <c r="X42" i="87" s="1"/>
  <c r="N42" i="87"/>
  <c r="H42" i="87"/>
  <c r="D42" i="87"/>
  <c r="L42" i="87" s="1"/>
  <c r="B42" i="87"/>
  <c r="Z41" i="87"/>
  <c r="X41" i="87"/>
  <c r="N41" i="87"/>
  <c r="L41" i="87"/>
  <c r="F41" i="87"/>
  <c r="B41" i="87"/>
  <c r="Z40" i="87"/>
  <c r="T40" i="87"/>
  <c r="P40" i="87"/>
  <c r="X40" i="87" s="1"/>
  <c r="N40" i="87"/>
  <c r="L40" i="87"/>
  <c r="H40" i="87"/>
  <c r="D40" i="87"/>
  <c r="B40" i="87"/>
  <c r="Z39" i="87"/>
  <c r="X39" i="87"/>
  <c r="R39" i="87"/>
  <c r="N39" i="87"/>
  <c r="L39" i="87"/>
  <c r="B39" i="87"/>
  <c r="Z38" i="87"/>
  <c r="X38" i="87"/>
  <c r="N38" i="87"/>
  <c r="L38" i="87"/>
  <c r="B38" i="87"/>
  <c r="Z37" i="87"/>
  <c r="X37" i="87"/>
  <c r="N37" i="87"/>
  <c r="L37" i="87"/>
  <c r="J37" i="87"/>
  <c r="B37" i="87"/>
  <c r="Z36" i="87"/>
  <c r="X36" i="87"/>
  <c r="N36" i="87"/>
  <c r="L36" i="87"/>
  <c r="B36" i="87"/>
  <c r="Z35" i="87"/>
  <c r="X35" i="87"/>
  <c r="R35" i="87"/>
  <c r="N35" i="87"/>
  <c r="L35" i="87"/>
  <c r="B35" i="87"/>
  <c r="Z34" i="87"/>
  <c r="X34" i="87"/>
  <c r="V34" i="87"/>
  <c r="R34" i="87"/>
  <c r="N34" i="87"/>
  <c r="L34" i="87"/>
  <c r="B34" i="87"/>
  <c r="Z33" i="87"/>
  <c r="X33" i="87"/>
  <c r="V33" i="87"/>
  <c r="R33" i="87"/>
  <c r="N33" i="87"/>
  <c r="L33" i="87"/>
  <c r="B33" i="87"/>
  <c r="Z32" i="87"/>
  <c r="X32" i="87"/>
  <c r="V32" i="87"/>
  <c r="R32" i="87"/>
  <c r="N32" i="87"/>
  <c r="L32" i="87"/>
  <c r="B32" i="87"/>
  <c r="X31" i="87"/>
  <c r="Z31" i="87" s="1"/>
  <c r="R31" i="87"/>
  <c r="N31" i="87"/>
  <c r="L31" i="87"/>
  <c r="F31" i="87"/>
  <c r="B31" i="87"/>
  <c r="Z30" i="87"/>
  <c r="X30" i="87"/>
  <c r="N30" i="87"/>
  <c r="L30" i="87"/>
  <c r="B30" i="87"/>
  <c r="T29" i="87"/>
  <c r="P29" i="87"/>
  <c r="X29" i="87" s="1"/>
  <c r="Z29" i="87" s="1"/>
  <c r="L29" i="87"/>
  <c r="N29" i="87" s="1"/>
  <c r="H29" i="87"/>
  <c r="D29" i="87"/>
  <c r="B29" i="87"/>
  <c r="Z28" i="87"/>
  <c r="X28" i="87"/>
  <c r="V28" i="87"/>
  <c r="R28" i="87"/>
  <c r="N28" i="87"/>
  <c r="L28" i="87"/>
  <c r="B28" i="87"/>
  <c r="X27" i="87"/>
  <c r="Z27" i="87" s="1"/>
  <c r="R27" i="87"/>
  <c r="N27" i="87"/>
  <c r="L27" i="87"/>
  <c r="B27" i="87"/>
  <c r="Z26" i="87"/>
  <c r="X26" i="87"/>
  <c r="N26" i="87"/>
  <c r="L26" i="87"/>
  <c r="B26" i="87"/>
  <c r="Z25" i="87"/>
  <c r="X25" i="87"/>
  <c r="N25" i="87"/>
  <c r="L25" i="87"/>
  <c r="J25" i="87"/>
  <c r="B25" i="87"/>
  <c r="Z24" i="87"/>
  <c r="X24" i="87"/>
  <c r="N24" i="87"/>
  <c r="L24" i="87"/>
  <c r="J24" i="87"/>
  <c r="B24" i="87"/>
  <c r="Z23" i="87"/>
  <c r="X23" i="87"/>
  <c r="R23" i="87"/>
  <c r="N23" i="87"/>
  <c r="L23" i="87"/>
  <c r="B23" i="87"/>
  <c r="Z22" i="87"/>
  <c r="X22" i="87"/>
  <c r="V22" i="87"/>
  <c r="R22" i="87"/>
  <c r="N22" i="87"/>
  <c r="L22" i="87"/>
  <c r="B22" i="87"/>
  <c r="X21" i="87"/>
  <c r="Z21" i="87" s="1"/>
  <c r="V21" i="87"/>
  <c r="R21" i="87"/>
  <c r="L21" i="87"/>
  <c r="N21" i="87" s="1"/>
  <c r="B21" i="87"/>
  <c r="X20" i="87"/>
  <c r="Z20" i="87" s="1"/>
  <c r="V20" i="87"/>
  <c r="R20" i="87"/>
  <c r="N20" i="87"/>
  <c r="L20" i="87"/>
  <c r="B20" i="87"/>
  <c r="X19" i="87"/>
  <c r="Z19" i="87" s="1"/>
  <c r="T19" i="87"/>
  <c r="P19" i="87"/>
  <c r="J19" i="87"/>
  <c r="H19" i="87"/>
  <c r="D19" i="87"/>
  <c r="B19" i="87"/>
  <c r="V18" i="87"/>
  <c r="T18" i="87"/>
  <c r="R18" i="87"/>
  <c r="P18" i="87"/>
  <c r="H18" i="87"/>
  <c r="F18" i="87"/>
  <c r="D18" i="87"/>
  <c r="L18" i="87" s="1"/>
  <c r="N18" i="87" s="1"/>
  <c r="J16" i="87"/>
  <c r="V14" i="87"/>
  <c r="T14" i="87"/>
  <c r="Z14" i="87" s="1"/>
  <c r="R14" i="87"/>
  <c r="P14" i="87"/>
  <c r="N14" i="87"/>
  <c r="H14" i="87"/>
  <c r="F14" i="87"/>
  <c r="D14" i="87"/>
  <c r="L14" i="87" s="1"/>
  <c r="Z12" i="87"/>
  <c r="X12" i="87"/>
  <c r="T12" i="87"/>
  <c r="V47" i="87" s="1"/>
  <c r="P12" i="87"/>
  <c r="R47" i="87" s="1"/>
  <c r="H12" i="87"/>
  <c r="J40" i="87" s="1"/>
  <c r="D12" i="87"/>
  <c r="F30" i="87" s="1"/>
  <c r="D6" i="87"/>
  <c r="D4" i="87"/>
  <c r="V40" i="86"/>
  <c r="Z38" i="86"/>
  <c r="X38" i="86"/>
  <c r="N38" i="86"/>
  <c r="L38" i="86"/>
  <c r="Z34" i="86"/>
  <c r="X34" i="86"/>
  <c r="V34" i="86"/>
  <c r="T34" i="86"/>
  <c r="P34" i="86"/>
  <c r="H34" i="86"/>
  <c r="N34" i="86" s="1"/>
  <c r="D34" i="86"/>
  <c r="L34" i="86" s="1"/>
  <c r="Z32" i="86"/>
  <c r="X32" i="86"/>
  <c r="N32" i="86"/>
  <c r="L32" i="86"/>
  <c r="B32" i="86"/>
  <c r="T31" i="86"/>
  <c r="Z31" i="86" s="1"/>
  <c r="P31" i="86"/>
  <c r="X31" i="86" s="1"/>
  <c r="N31" i="86"/>
  <c r="H31" i="86"/>
  <c r="D31" i="86"/>
  <c r="L31" i="86" s="1"/>
  <c r="B31" i="86"/>
  <c r="Z30" i="86"/>
  <c r="X30" i="86"/>
  <c r="N30" i="86"/>
  <c r="L30" i="86"/>
  <c r="B30" i="86"/>
  <c r="Z29" i="86"/>
  <c r="T29" i="86"/>
  <c r="P29" i="86"/>
  <c r="X29" i="86" s="1"/>
  <c r="N29" i="86"/>
  <c r="L29" i="86"/>
  <c r="H29" i="86"/>
  <c r="D29" i="86"/>
  <c r="B29" i="86"/>
  <c r="Z28" i="86"/>
  <c r="X28" i="86"/>
  <c r="V28" i="86"/>
  <c r="N28" i="86"/>
  <c r="L28" i="86"/>
  <c r="B28" i="86"/>
  <c r="Z27" i="86"/>
  <c r="X27" i="86"/>
  <c r="T27" i="86"/>
  <c r="P27" i="86"/>
  <c r="H27" i="86"/>
  <c r="D27" i="86"/>
  <c r="B27" i="86"/>
  <c r="Z26" i="86"/>
  <c r="X26" i="86"/>
  <c r="V26" i="86"/>
  <c r="R26" i="86"/>
  <c r="N26" i="86"/>
  <c r="L26" i="86"/>
  <c r="B26" i="86"/>
  <c r="V25" i="86"/>
  <c r="T25" i="86"/>
  <c r="Z25" i="86" s="1"/>
  <c r="P25" i="86"/>
  <c r="H25" i="86"/>
  <c r="N25" i="86" s="1"/>
  <c r="D25" i="86"/>
  <c r="L25" i="86" s="1"/>
  <c r="B25" i="86"/>
  <c r="Z24" i="86"/>
  <c r="X24" i="86"/>
  <c r="N24" i="86"/>
  <c r="L24" i="86"/>
  <c r="B24" i="86"/>
  <c r="T23" i="86"/>
  <c r="R23" i="86"/>
  <c r="P23" i="86"/>
  <c r="H23" i="86"/>
  <c r="D23" i="86"/>
  <c r="L23" i="86" s="1"/>
  <c r="N23" i="86" s="1"/>
  <c r="B23" i="86"/>
  <c r="Z22" i="86"/>
  <c r="X22" i="86"/>
  <c r="V22" i="86"/>
  <c r="N22" i="86"/>
  <c r="L22" i="86"/>
  <c r="B22" i="86"/>
  <c r="Z21" i="86"/>
  <c r="T21" i="86"/>
  <c r="P21" i="86"/>
  <c r="X21" i="86" s="1"/>
  <c r="N21" i="86"/>
  <c r="L21" i="86"/>
  <c r="H21" i="86"/>
  <c r="D21" i="86"/>
  <c r="B21" i="86"/>
  <c r="X20" i="86"/>
  <c r="Z20" i="86" s="1"/>
  <c r="V20" i="86"/>
  <c r="T20" i="86"/>
  <c r="R20" i="86"/>
  <c r="P20" i="86"/>
  <c r="H20" i="86"/>
  <c r="D20" i="86"/>
  <c r="L20" i="86" s="1"/>
  <c r="R18" i="86"/>
  <c r="P18" i="86"/>
  <c r="P36" i="86" s="1"/>
  <c r="Z16" i="86"/>
  <c r="X16" i="86"/>
  <c r="V16" i="86"/>
  <c r="R16" i="86"/>
  <c r="N16" i="86"/>
  <c r="L16" i="86"/>
  <c r="B16" i="86"/>
  <c r="Z15" i="86"/>
  <c r="X15" i="86"/>
  <c r="V15" i="86"/>
  <c r="T15" i="86"/>
  <c r="P15" i="86"/>
  <c r="L15" i="86"/>
  <c r="J15" i="86"/>
  <c r="H15" i="86"/>
  <c r="N15" i="86" s="1"/>
  <c r="D15" i="86"/>
  <c r="Z13" i="86"/>
  <c r="X13" i="86"/>
  <c r="P13" i="86"/>
  <c r="N13" i="86"/>
  <c r="D13" i="86"/>
  <c r="B13" i="86"/>
  <c r="Z12" i="86"/>
  <c r="T12" i="86"/>
  <c r="V27" i="86" s="1"/>
  <c r="P12" i="86"/>
  <c r="R28" i="86" s="1"/>
  <c r="H12" i="86"/>
  <c r="J27" i="86" s="1"/>
  <c r="D6" i="86"/>
  <c r="D4" i="86"/>
  <c r="V35" i="85"/>
  <c r="R35" i="85"/>
  <c r="F35" i="85"/>
  <c r="Z30" i="85"/>
  <c r="X30" i="85"/>
  <c r="V30" i="85"/>
  <c r="R30" i="85"/>
  <c r="N30" i="85"/>
  <c r="L30" i="85"/>
  <c r="V28" i="85"/>
  <c r="R28" i="85"/>
  <c r="F28" i="85"/>
  <c r="Z26" i="85"/>
  <c r="X26" i="85"/>
  <c r="T26" i="85"/>
  <c r="P26" i="85"/>
  <c r="N26" i="85"/>
  <c r="L26" i="85"/>
  <c r="H26" i="85"/>
  <c r="D26" i="85"/>
  <c r="Z24" i="85"/>
  <c r="X24" i="85"/>
  <c r="V24" i="85"/>
  <c r="R24" i="85"/>
  <c r="N24" i="85"/>
  <c r="L24" i="85"/>
  <c r="B24" i="85"/>
  <c r="V23" i="85"/>
  <c r="T23" i="85"/>
  <c r="P23" i="85"/>
  <c r="H23" i="85"/>
  <c r="N23" i="85" s="1"/>
  <c r="F23" i="85"/>
  <c r="D23" i="85"/>
  <c r="L23" i="85" s="1"/>
  <c r="B23" i="85"/>
  <c r="Z22" i="85"/>
  <c r="X22" i="85"/>
  <c r="N22" i="85"/>
  <c r="L22" i="85"/>
  <c r="B22" i="85"/>
  <c r="T21" i="85"/>
  <c r="Z21" i="85" s="1"/>
  <c r="R21" i="85"/>
  <c r="P21" i="85"/>
  <c r="N21" i="85"/>
  <c r="H21" i="85"/>
  <c r="D21" i="85"/>
  <c r="L21" i="85" s="1"/>
  <c r="B21" i="85"/>
  <c r="Z20" i="85"/>
  <c r="X20" i="85"/>
  <c r="N20" i="85"/>
  <c r="L20" i="85"/>
  <c r="J20" i="85"/>
  <c r="F20" i="85"/>
  <c r="B20" i="85"/>
  <c r="T19" i="85"/>
  <c r="P19" i="85"/>
  <c r="X19" i="85" s="1"/>
  <c r="Z19" i="85" s="1"/>
  <c r="N19" i="85"/>
  <c r="L19" i="85"/>
  <c r="H19" i="85"/>
  <c r="D19" i="85"/>
  <c r="B19" i="85"/>
  <c r="Z18" i="85"/>
  <c r="X18" i="85"/>
  <c r="V18" i="85"/>
  <c r="T18" i="85"/>
  <c r="R18" i="85"/>
  <c r="P18" i="85"/>
  <c r="J18" i="85"/>
  <c r="H18" i="85"/>
  <c r="F18" i="85"/>
  <c r="D18" i="85"/>
  <c r="R16" i="85"/>
  <c r="P16" i="85"/>
  <c r="Z14" i="85"/>
  <c r="X14" i="85"/>
  <c r="V14" i="85"/>
  <c r="T14" i="85"/>
  <c r="R14" i="85"/>
  <c r="P14" i="85"/>
  <c r="H14" i="85"/>
  <c r="N14" i="85" s="1"/>
  <c r="F14" i="85"/>
  <c r="D14" i="85"/>
  <c r="Z12" i="85"/>
  <c r="T12" i="85"/>
  <c r="V32" i="85" s="1"/>
  <c r="P12" i="85"/>
  <c r="R23" i="85" s="1"/>
  <c r="H12" i="85"/>
  <c r="D12" i="85"/>
  <c r="F22" i="85" s="1"/>
  <c r="D6" i="85"/>
  <c r="D4" i="85"/>
  <c r="V58" i="84"/>
  <c r="F58" i="84"/>
  <c r="V55" i="84"/>
  <c r="J55" i="84"/>
  <c r="Z53" i="84"/>
  <c r="X53" i="84"/>
  <c r="V53" i="84"/>
  <c r="N53" i="84"/>
  <c r="L53" i="84"/>
  <c r="J53" i="84"/>
  <c r="V51" i="84"/>
  <c r="T51" i="84"/>
  <c r="R51" i="84"/>
  <c r="Z49" i="84"/>
  <c r="X49" i="84"/>
  <c r="V49" i="84"/>
  <c r="P49" i="84"/>
  <c r="L49" i="84"/>
  <c r="N49" i="84" s="1"/>
  <c r="J49" i="84"/>
  <c r="D49" i="84"/>
  <c r="B49" i="84"/>
  <c r="T48" i="84"/>
  <c r="P48" i="84"/>
  <c r="X48" i="84" s="1"/>
  <c r="L48" i="84"/>
  <c r="N48" i="84" s="1"/>
  <c r="H48" i="84"/>
  <c r="D48" i="84"/>
  <c r="Z46" i="84"/>
  <c r="X46" i="84"/>
  <c r="N46" i="84"/>
  <c r="L46" i="84"/>
  <c r="F46" i="84"/>
  <c r="B46" i="84"/>
  <c r="Z45" i="84"/>
  <c r="X45" i="84"/>
  <c r="V45" i="84"/>
  <c r="T45" i="84"/>
  <c r="P45" i="84"/>
  <c r="N45" i="84"/>
  <c r="L45" i="84"/>
  <c r="J45" i="84"/>
  <c r="H45" i="84"/>
  <c r="D45" i="84"/>
  <c r="B45" i="84"/>
  <c r="Z44" i="84"/>
  <c r="X44" i="84"/>
  <c r="V44" i="84"/>
  <c r="N44" i="84"/>
  <c r="L44" i="84"/>
  <c r="B44" i="84"/>
  <c r="Z43" i="84"/>
  <c r="X43" i="84"/>
  <c r="V43" i="84"/>
  <c r="T43" i="84"/>
  <c r="P43" i="84"/>
  <c r="J43" i="84"/>
  <c r="H43" i="84"/>
  <c r="N43" i="84" s="1"/>
  <c r="D43" i="84"/>
  <c r="B43" i="84"/>
  <c r="Z42" i="84"/>
  <c r="X42" i="84"/>
  <c r="N42" i="84"/>
  <c r="L42" i="84"/>
  <c r="B42" i="84"/>
  <c r="V41" i="84"/>
  <c r="T41" i="84"/>
  <c r="Z41" i="84" s="1"/>
  <c r="P41" i="84"/>
  <c r="N41" i="84"/>
  <c r="H41" i="84"/>
  <c r="D41" i="84"/>
  <c r="L41" i="84" s="1"/>
  <c r="B41" i="84"/>
  <c r="Z40" i="84"/>
  <c r="X40" i="84"/>
  <c r="N40" i="84"/>
  <c r="L40" i="84"/>
  <c r="J40" i="84"/>
  <c r="B40" i="84"/>
  <c r="Z39" i="84"/>
  <c r="T39" i="84"/>
  <c r="P39" i="84"/>
  <c r="X39" i="84" s="1"/>
  <c r="N39" i="84"/>
  <c r="L39" i="84"/>
  <c r="J39" i="84"/>
  <c r="H39" i="84"/>
  <c r="D39" i="84"/>
  <c r="B39" i="84"/>
  <c r="Z38" i="84"/>
  <c r="X38" i="84"/>
  <c r="N38" i="84"/>
  <c r="L38" i="84"/>
  <c r="B38" i="84"/>
  <c r="Z37" i="84"/>
  <c r="X37" i="84"/>
  <c r="V37" i="84"/>
  <c r="N37" i="84"/>
  <c r="L37" i="84"/>
  <c r="J37" i="84"/>
  <c r="B37" i="84"/>
  <c r="Z36" i="84"/>
  <c r="X36" i="84"/>
  <c r="N36" i="84"/>
  <c r="L36" i="84"/>
  <c r="J36" i="84"/>
  <c r="B36" i="84"/>
  <c r="Z35" i="84"/>
  <c r="X35" i="84"/>
  <c r="N35" i="84"/>
  <c r="L35" i="84"/>
  <c r="J35" i="84"/>
  <c r="B35" i="84"/>
  <c r="Z34" i="84"/>
  <c r="X34" i="84"/>
  <c r="R34" i="84"/>
  <c r="N34" i="84"/>
  <c r="L34" i="84"/>
  <c r="B34" i="84"/>
  <c r="Z33" i="84"/>
  <c r="X33" i="84"/>
  <c r="V33" i="84"/>
  <c r="R33" i="84"/>
  <c r="N33" i="84"/>
  <c r="L33" i="84"/>
  <c r="J33" i="84"/>
  <c r="B33" i="84"/>
  <c r="Z32" i="84"/>
  <c r="X32" i="84"/>
  <c r="V32" i="84"/>
  <c r="R32" i="84"/>
  <c r="N32" i="84"/>
  <c r="L32" i="84"/>
  <c r="B32" i="84"/>
  <c r="Z31" i="84"/>
  <c r="X31" i="84"/>
  <c r="V31" i="84"/>
  <c r="N31" i="84"/>
  <c r="L31" i="84"/>
  <c r="B31" i="84"/>
  <c r="Z30" i="84"/>
  <c r="X30" i="84"/>
  <c r="N30" i="84"/>
  <c r="L30" i="84"/>
  <c r="B30" i="84"/>
  <c r="Z29" i="84"/>
  <c r="X29" i="84"/>
  <c r="V29" i="84"/>
  <c r="N29" i="84"/>
  <c r="L29" i="84"/>
  <c r="J29" i="84"/>
  <c r="B29" i="84"/>
  <c r="Z28" i="84"/>
  <c r="X28" i="84"/>
  <c r="T28" i="84"/>
  <c r="P28" i="84"/>
  <c r="N28" i="84"/>
  <c r="L28" i="84"/>
  <c r="H28" i="84"/>
  <c r="D28" i="84"/>
  <c r="B28" i="84"/>
  <c r="Z27" i="84"/>
  <c r="X27" i="84"/>
  <c r="V27" i="84"/>
  <c r="N27" i="84"/>
  <c r="L27" i="84"/>
  <c r="B27" i="84"/>
  <c r="Z26" i="84"/>
  <c r="X26" i="84"/>
  <c r="N26" i="84"/>
  <c r="L26" i="84"/>
  <c r="F26" i="84"/>
  <c r="B26" i="84"/>
  <c r="Z25" i="84"/>
  <c r="X25" i="84"/>
  <c r="V25" i="84"/>
  <c r="N25" i="84"/>
  <c r="L25" i="84"/>
  <c r="J25" i="84"/>
  <c r="F25" i="84"/>
  <c r="B25" i="84"/>
  <c r="Z24" i="84"/>
  <c r="X24" i="84"/>
  <c r="N24" i="84"/>
  <c r="L24" i="84"/>
  <c r="J24" i="84"/>
  <c r="B24" i="84"/>
  <c r="Z23" i="84"/>
  <c r="X23" i="84"/>
  <c r="N23" i="84"/>
  <c r="L23" i="84"/>
  <c r="J23" i="84"/>
  <c r="B23" i="84"/>
  <c r="Z22" i="84"/>
  <c r="X22" i="84"/>
  <c r="R22" i="84"/>
  <c r="N22" i="84"/>
  <c r="L22" i="84"/>
  <c r="F22" i="84"/>
  <c r="B22" i="84"/>
  <c r="Z21" i="84"/>
  <c r="X21" i="84"/>
  <c r="V21" i="84"/>
  <c r="R21" i="84"/>
  <c r="N21" i="84"/>
  <c r="L21" i="84"/>
  <c r="J21" i="84"/>
  <c r="B21" i="84"/>
  <c r="Z20" i="84"/>
  <c r="X20" i="84"/>
  <c r="V20" i="84"/>
  <c r="R20" i="84"/>
  <c r="N20" i="84"/>
  <c r="L20" i="84"/>
  <c r="B20" i="84"/>
  <c r="Z19" i="84"/>
  <c r="X19" i="84"/>
  <c r="V19" i="84"/>
  <c r="T19" i="84"/>
  <c r="R19" i="84"/>
  <c r="P19" i="84"/>
  <c r="J19" i="84"/>
  <c r="H19" i="84"/>
  <c r="N19" i="84" s="1"/>
  <c r="D19" i="84"/>
  <c r="B19" i="84"/>
  <c r="T18" i="84"/>
  <c r="Z18" i="84" s="1"/>
  <c r="R18" i="84"/>
  <c r="P18" i="84"/>
  <c r="L18" i="84"/>
  <c r="H18" i="84"/>
  <c r="N18" i="84" s="1"/>
  <c r="D18" i="84"/>
  <c r="T16" i="84"/>
  <c r="Z16" i="84" s="1"/>
  <c r="J16" i="84"/>
  <c r="H16" i="84"/>
  <c r="T14" i="84"/>
  <c r="Z14" i="84" s="1"/>
  <c r="P14" i="84"/>
  <c r="X14" i="84" s="1"/>
  <c r="H14" i="84"/>
  <c r="N14" i="84" s="1"/>
  <c r="D14" i="84"/>
  <c r="L14" i="84" s="1"/>
  <c r="Z12" i="84"/>
  <c r="X12" i="84"/>
  <c r="T12" i="84"/>
  <c r="V46" i="84" s="1"/>
  <c r="P12" i="84"/>
  <c r="R58" i="84" s="1"/>
  <c r="L12" i="84"/>
  <c r="H12" i="84"/>
  <c r="J42" i="84" s="1"/>
  <c r="D12" i="84"/>
  <c r="D6" i="84"/>
  <c r="D4" i="84"/>
  <c r="F91" i="83"/>
  <c r="Z89" i="83"/>
  <c r="X89" i="83"/>
  <c r="L89" i="83"/>
  <c r="N89" i="83" s="1"/>
  <c r="Z85" i="83"/>
  <c r="P85" i="83"/>
  <c r="X85" i="83" s="1"/>
  <c r="N85" i="83"/>
  <c r="J85" i="83"/>
  <c r="F85" i="83"/>
  <c r="D85" i="83"/>
  <c r="L85" i="83" s="1"/>
  <c r="B85" i="83"/>
  <c r="T84" i="83"/>
  <c r="Z84" i="83" s="1"/>
  <c r="P84" i="83"/>
  <c r="X84" i="83" s="1"/>
  <c r="H84" i="83"/>
  <c r="N84" i="83" s="1"/>
  <c r="Z82" i="83"/>
  <c r="X82" i="83"/>
  <c r="L82" i="83"/>
  <c r="N82" i="83" s="1"/>
  <c r="B82" i="83"/>
  <c r="Z81" i="83"/>
  <c r="X81" i="83"/>
  <c r="T81" i="83"/>
  <c r="P81" i="83"/>
  <c r="L81" i="83"/>
  <c r="J81" i="83"/>
  <c r="H81" i="83"/>
  <c r="D81" i="83"/>
  <c r="B81" i="83"/>
  <c r="X80" i="83"/>
  <c r="Z80" i="83" s="1"/>
  <c r="V80" i="83"/>
  <c r="N80" i="83"/>
  <c r="L80" i="83"/>
  <c r="B80" i="83"/>
  <c r="X79" i="83"/>
  <c r="V79" i="83"/>
  <c r="T79" i="83"/>
  <c r="P79" i="83"/>
  <c r="H79" i="83"/>
  <c r="N79" i="83" s="1"/>
  <c r="F79" i="83"/>
  <c r="D79" i="83"/>
  <c r="B79" i="83"/>
  <c r="X78" i="83"/>
  <c r="Z78" i="83" s="1"/>
  <c r="N78" i="83"/>
  <c r="L78" i="83"/>
  <c r="B78" i="83"/>
  <c r="Z77" i="83"/>
  <c r="X77" i="83"/>
  <c r="N77" i="83"/>
  <c r="L77" i="83"/>
  <c r="B77" i="83"/>
  <c r="T76" i="83"/>
  <c r="P76" i="83"/>
  <c r="X76" i="83" s="1"/>
  <c r="H76" i="83"/>
  <c r="N76" i="83" s="1"/>
  <c r="F76" i="83"/>
  <c r="D76" i="83"/>
  <c r="L76" i="83" s="1"/>
  <c r="B76" i="83"/>
  <c r="X75" i="83"/>
  <c r="Z75" i="83" s="1"/>
  <c r="L75" i="83"/>
  <c r="N75" i="83" s="1"/>
  <c r="J75" i="83"/>
  <c r="B75" i="83"/>
  <c r="X74" i="83"/>
  <c r="Z74" i="83" s="1"/>
  <c r="L74" i="83"/>
  <c r="N74" i="83" s="1"/>
  <c r="B74" i="83"/>
  <c r="Z73" i="83"/>
  <c r="X73" i="83"/>
  <c r="N73" i="83"/>
  <c r="L73" i="83"/>
  <c r="B73" i="83"/>
  <c r="X72" i="83"/>
  <c r="Z72" i="83" s="1"/>
  <c r="V72" i="83"/>
  <c r="N72" i="83"/>
  <c r="L72" i="83"/>
  <c r="B72" i="83"/>
  <c r="Z71" i="83"/>
  <c r="X71" i="83"/>
  <c r="V71" i="83"/>
  <c r="N71" i="83"/>
  <c r="L71" i="83"/>
  <c r="B71" i="83"/>
  <c r="X70" i="83"/>
  <c r="Z70" i="83" s="1"/>
  <c r="N70" i="83"/>
  <c r="L70" i="83"/>
  <c r="B70" i="83"/>
  <c r="Z69" i="83"/>
  <c r="X69" i="83"/>
  <c r="N69" i="83"/>
  <c r="L69" i="83"/>
  <c r="F69" i="83"/>
  <c r="B69" i="83"/>
  <c r="X68" i="83"/>
  <c r="Z68" i="83" s="1"/>
  <c r="L68" i="83"/>
  <c r="N68" i="83" s="1"/>
  <c r="J68" i="83"/>
  <c r="F68" i="83"/>
  <c r="B68" i="83"/>
  <c r="T67" i="83"/>
  <c r="P67" i="83"/>
  <c r="X67" i="83" s="1"/>
  <c r="N67" i="83"/>
  <c r="H67" i="83"/>
  <c r="D67" i="83"/>
  <c r="L67" i="83" s="1"/>
  <c r="B67" i="83"/>
  <c r="Z66" i="83"/>
  <c r="X66" i="83"/>
  <c r="L66" i="83"/>
  <c r="N66" i="83" s="1"/>
  <c r="B66" i="83"/>
  <c r="Z65" i="83"/>
  <c r="T65" i="83"/>
  <c r="P65" i="83"/>
  <c r="X65" i="83" s="1"/>
  <c r="L65" i="83"/>
  <c r="J65" i="83"/>
  <c r="H65" i="83"/>
  <c r="D65" i="83"/>
  <c r="B65" i="83"/>
  <c r="Z64" i="83"/>
  <c r="X64" i="83"/>
  <c r="V64" i="83"/>
  <c r="N64" i="83"/>
  <c r="L64" i="83"/>
  <c r="B64" i="83"/>
  <c r="X63" i="83"/>
  <c r="Z63" i="83" s="1"/>
  <c r="V63" i="83"/>
  <c r="L63" i="83"/>
  <c r="N63" i="83" s="1"/>
  <c r="J63" i="83"/>
  <c r="B63" i="83"/>
  <c r="Z62" i="83"/>
  <c r="X62" i="83"/>
  <c r="N62" i="83"/>
  <c r="L62" i="83"/>
  <c r="B62" i="83"/>
  <c r="Z61" i="83"/>
  <c r="X61" i="83"/>
  <c r="N61" i="83"/>
  <c r="L61" i="83"/>
  <c r="F61" i="83"/>
  <c r="B61" i="83"/>
  <c r="T60" i="83"/>
  <c r="P60" i="83"/>
  <c r="X60" i="83" s="1"/>
  <c r="L60" i="83"/>
  <c r="N60" i="83" s="1"/>
  <c r="H60" i="83"/>
  <c r="D60" i="83"/>
  <c r="B60" i="83"/>
  <c r="X59" i="83"/>
  <c r="Z59" i="83" s="1"/>
  <c r="V59" i="83"/>
  <c r="N59" i="83"/>
  <c r="L59" i="83"/>
  <c r="J59" i="83"/>
  <c r="B59" i="83"/>
  <c r="Z58" i="83"/>
  <c r="X58" i="83"/>
  <c r="N58" i="83"/>
  <c r="L58" i="83"/>
  <c r="B58" i="83"/>
  <c r="T57" i="83"/>
  <c r="P57" i="83"/>
  <c r="X57" i="83" s="1"/>
  <c r="Z57" i="83" s="1"/>
  <c r="L57" i="83"/>
  <c r="J57" i="83"/>
  <c r="H57" i="83"/>
  <c r="D57" i="83"/>
  <c r="B57" i="83"/>
  <c r="Z56" i="83"/>
  <c r="X56" i="83"/>
  <c r="V56" i="83"/>
  <c r="N56" i="83"/>
  <c r="L56" i="83"/>
  <c r="B56" i="83"/>
  <c r="X55" i="83"/>
  <c r="V55" i="83"/>
  <c r="T55" i="83"/>
  <c r="P55" i="83"/>
  <c r="H55" i="83"/>
  <c r="F55" i="83"/>
  <c r="D55" i="83"/>
  <c r="B55" i="83"/>
  <c r="X54" i="83"/>
  <c r="Z54" i="83" s="1"/>
  <c r="L54" i="83"/>
  <c r="N54" i="83" s="1"/>
  <c r="B54" i="83"/>
  <c r="T53" i="83"/>
  <c r="P53" i="83"/>
  <c r="J53" i="83"/>
  <c r="H53" i="83"/>
  <c r="N53" i="83" s="1"/>
  <c r="D53" i="83"/>
  <c r="L53" i="83" s="1"/>
  <c r="B53" i="83"/>
  <c r="Z52" i="83"/>
  <c r="X52" i="83"/>
  <c r="N52" i="83"/>
  <c r="L52" i="83"/>
  <c r="J52" i="83"/>
  <c r="F52" i="83"/>
  <c r="B52" i="83"/>
  <c r="V51" i="83"/>
  <c r="T51" i="83"/>
  <c r="Z51" i="83" s="1"/>
  <c r="P51" i="83"/>
  <c r="X51" i="83" s="1"/>
  <c r="H51" i="83"/>
  <c r="L51" i="83" s="1"/>
  <c r="N51" i="83" s="1"/>
  <c r="D51" i="83"/>
  <c r="B51" i="83"/>
  <c r="X50" i="83"/>
  <c r="Z50" i="83" s="1"/>
  <c r="L50" i="83"/>
  <c r="N50" i="83" s="1"/>
  <c r="B50" i="83"/>
  <c r="Z49" i="83"/>
  <c r="X49" i="83"/>
  <c r="N49" i="83"/>
  <c r="L49" i="83"/>
  <c r="F49" i="83"/>
  <c r="B49" i="83"/>
  <c r="T48" i="83"/>
  <c r="Z48" i="83" s="1"/>
  <c r="P48" i="83"/>
  <c r="X48" i="83" s="1"/>
  <c r="L48" i="83"/>
  <c r="N48" i="83" s="1"/>
  <c r="H48" i="83"/>
  <c r="D48" i="83"/>
  <c r="B48" i="83"/>
  <c r="X47" i="83"/>
  <c r="Z47" i="83" s="1"/>
  <c r="V47" i="83"/>
  <c r="L47" i="83"/>
  <c r="N47" i="83" s="1"/>
  <c r="J47" i="83"/>
  <c r="B47" i="83"/>
  <c r="X46" i="83"/>
  <c r="Z46" i="83" s="1"/>
  <c r="T46" i="83"/>
  <c r="P46" i="83"/>
  <c r="H46" i="83"/>
  <c r="D46" i="83"/>
  <c r="B46" i="83"/>
  <c r="Z45" i="83"/>
  <c r="X45" i="83"/>
  <c r="N45" i="83"/>
  <c r="L45" i="83"/>
  <c r="B45" i="83"/>
  <c r="T44" i="83"/>
  <c r="Z44" i="83" s="1"/>
  <c r="P44" i="83"/>
  <c r="X44" i="83" s="1"/>
  <c r="H44" i="83"/>
  <c r="N44" i="83" s="1"/>
  <c r="F44" i="83"/>
  <c r="D44" i="83"/>
  <c r="L44" i="83" s="1"/>
  <c r="B44" i="83"/>
  <c r="Z43" i="83"/>
  <c r="X43" i="83"/>
  <c r="V43" i="83"/>
  <c r="N43" i="83"/>
  <c r="L43" i="83"/>
  <c r="J43" i="83"/>
  <c r="B43" i="83"/>
  <c r="Z42" i="83"/>
  <c r="X42" i="83"/>
  <c r="N42" i="83"/>
  <c r="L42" i="83"/>
  <c r="B42" i="83"/>
  <c r="Z41" i="83"/>
  <c r="X41" i="83"/>
  <c r="N41" i="83"/>
  <c r="L41" i="83"/>
  <c r="B41" i="83"/>
  <c r="Z40" i="83"/>
  <c r="X40" i="83"/>
  <c r="V40" i="83"/>
  <c r="L40" i="83"/>
  <c r="N40" i="83" s="1"/>
  <c r="F40" i="83"/>
  <c r="B40" i="83"/>
  <c r="Z39" i="83"/>
  <c r="X39" i="83"/>
  <c r="V39" i="83"/>
  <c r="N39" i="83"/>
  <c r="L39" i="83"/>
  <c r="J39" i="83"/>
  <c r="B39" i="83"/>
  <c r="Z38" i="83"/>
  <c r="X38" i="83"/>
  <c r="L38" i="83"/>
  <c r="N38" i="83" s="1"/>
  <c r="B38" i="83"/>
  <c r="Z37" i="83"/>
  <c r="X37" i="83"/>
  <c r="N37" i="83"/>
  <c r="L37" i="83"/>
  <c r="F37" i="83"/>
  <c r="B37" i="83"/>
  <c r="Z36" i="83"/>
  <c r="X36" i="83"/>
  <c r="N36" i="83"/>
  <c r="L36" i="83"/>
  <c r="J36" i="83"/>
  <c r="F36" i="83"/>
  <c r="B36" i="83"/>
  <c r="Z35" i="83"/>
  <c r="X35" i="83"/>
  <c r="V35" i="83"/>
  <c r="N35" i="83"/>
  <c r="L35" i="83"/>
  <c r="J35" i="83"/>
  <c r="B35" i="83"/>
  <c r="Z34" i="83"/>
  <c r="X34" i="83"/>
  <c r="N34" i="83"/>
  <c r="L34" i="83"/>
  <c r="B34" i="83"/>
  <c r="T33" i="83"/>
  <c r="P33" i="83"/>
  <c r="X33" i="83" s="1"/>
  <c r="J33" i="83"/>
  <c r="H33" i="83"/>
  <c r="D33" i="83"/>
  <c r="L33" i="83" s="1"/>
  <c r="B33" i="83"/>
  <c r="X32" i="83"/>
  <c r="Z32" i="83" s="1"/>
  <c r="N32" i="83"/>
  <c r="L32" i="83"/>
  <c r="J32" i="83"/>
  <c r="F32" i="83"/>
  <c r="B32" i="83"/>
  <c r="X31" i="83"/>
  <c r="Z31" i="83" s="1"/>
  <c r="V31" i="83"/>
  <c r="L31" i="83"/>
  <c r="N31" i="83" s="1"/>
  <c r="J31" i="83"/>
  <c r="B31" i="83"/>
  <c r="X30" i="83"/>
  <c r="Z30" i="83" s="1"/>
  <c r="N30" i="83"/>
  <c r="L30" i="83"/>
  <c r="B30" i="83"/>
  <c r="Z29" i="83"/>
  <c r="X29" i="83"/>
  <c r="N29" i="83"/>
  <c r="L29" i="83"/>
  <c r="B29" i="83"/>
  <c r="Z28" i="83"/>
  <c r="X28" i="83"/>
  <c r="V28" i="83"/>
  <c r="N28" i="83"/>
  <c r="L28" i="83"/>
  <c r="F28" i="83"/>
  <c r="B28" i="83"/>
  <c r="X27" i="83"/>
  <c r="Z27" i="83" s="1"/>
  <c r="V27" i="83"/>
  <c r="L27" i="83"/>
  <c r="N27" i="83" s="1"/>
  <c r="J27" i="83"/>
  <c r="B27" i="83"/>
  <c r="X26" i="83"/>
  <c r="Z26" i="83" s="1"/>
  <c r="L26" i="83"/>
  <c r="N26" i="83" s="1"/>
  <c r="B26" i="83"/>
  <c r="Z25" i="83"/>
  <c r="X25" i="83"/>
  <c r="N25" i="83"/>
  <c r="L25" i="83"/>
  <c r="F25" i="83"/>
  <c r="B25" i="83"/>
  <c r="X24" i="83"/>
  <c r="Z24" i="83" s="1"/>
  <c r="N24" i="83"/>
  <c r="L24" i="83"/>
  <c r="J24" i="83"/>
  <c r="F24" i="83"/>
  <c r="B24" i="83"/>
  <c r="V23" i="83"/>
  <c r="T23" i="83"/>
  <c r="Z23" i="83" s="1"/>
  <c r="P23" i="83"/>
  <c r="X23" i="83" s="1"/>
  <c r="H23" i="83"/>
  <c r="F23" i="83"/>
  <c r="D23" i="83"/>
  <c r="L23" i="83" s="1"/>
  <c r="N23" i="83" s="1"/>
  <c r="B23" i="83"/>
  <c r="X22" i="83"/>
  <c r="Z22" i="83" s="1"/>
  <c r="T22" i="83"/>
  <c r="P22" i="83"/>
  <c r="H22" i="83"/>
  <c r="D22" i="83"/>
  <c r="L22" i="83" s="1"/>
  <c r="H20" i="83"/>
  <c r="Z18" i="83"/>
  <c r="X18" i="83"/>
  <c r="N18" i="83"/>
  <c r="L18" i="83"/>
  <c r="B18" i="83"/>
  <c r="Z17" i="83"/>
  <c r="X17" i="83"/>
  <c r="V17" i="83"/>
  <c r="N17" i="83"/>
  <c r="L17" i="83"/>
  <c r="F17" i="83"/>
  <c r="B17" i="83"/>
  <c r="T16" i="83"/>
  <c r="P16" i="83"/>
  <c r="L16" i="83"/>
  <c r="N16" i="83" s="1"/>
  <c r="H16" i="83"/>
  <c r="D16" i="83"/>
  <c r="P14" i="83"/>
  <c r="D14" i="83"/>
  <c r="L14" i="83" s="1"/>
  <c r="N14" i="83" s="1"/>
  <c r="B14" i="83"/>
  <c r="Z13" i="83"/>
  <c r="X13" i="83"/>
  <c r="P13" i="83"/>
  <c r="L13" i="83"/>
  <c r="N13" i="83" s="1"/>
  <c r="D13" i="83"/>
  <c r="B13" i="83"/>
  <c r="T12" i="83"/>
  <c r="V77" i="83" s="1"/>
  <c r="L12" i="83"/>
  <c r="N12" i="83" s="1"/>
  <c r="H12" i="83"/>
  <c r="J77" i="83" s="1"/>
  <c r="D12" i="83"/>
  <c r="F77" i="83" s="1"/>
  <c r="D6" i="83"/>
  <c r="D4" i="83"/>
  <c r="X96" i="82"/>
  <c r="Z96" i="82" s="1"/>
  <c r="V96" i="82"/>
  <c r="L96" i="82"/>
  <c r="N96" i="82" s="1"/>
  <c r="Z92" i="82"/>
  <c r="X92" i="82"/>
  <c r="P92" i="82"/>
  <c r="N92" i="82"/>
  <c r="L92" i="82"/>
  <c r="J92" i="82"/>
  <c r="D92" i="82"/>
  <c r="B92" i="82"/>
  <c r="Z91" i="82"/>
  <c r="T91" i="82"/>
  <c r="P91" i="82"/>
  <c r="X91" i="82" s="1"/>
  <c r="N91" i="82"/>
  <c r="J91" i="82"/>
  <c r="H91" i="82"/>
  <c r="D91" i="82"/>
  <c r="L91" i="82" s="1"/>
  <c r="Z89" i="82"/>
  <c r="X89" i="82"/>
  <c r="N89" i="82"/>
  <c r="L89" i="82"/>
  <c r="B89" i="82"/>
  <c r="T88" i="82"/>
  <c r="P88" i="82"/>
  <c r="N88" i="82"/>
  <c r="H88" i="82"/>
  <c r="D88" i="82"/>
  <c r="L88" i="82" s="1"/>
  <c r="B88" i="82"/>
  <c r="X87" i="82"/>
  <c r="Z87" i="82" s="1"/>
  <c r="V87" i="82"/>
  <c r="N87" i="82"/>
  <c r="L87" i="82"/>
  <c r="J87" i="82"/>
  <c r="B87" i="82"/>
  <c r="X86" i="82"/>
  <c r="Z86" i="82" s="1"/>
  <c r="T86" i="82"/>
  <c r="P86" i="82"/>
  <c r="J86" i="82"/>
  <c r="H86" i="82"/>
  <c r="N86" i="82" s="1"/>
  <c r="D86" i="82"/>
  <c r="B86" i="82"/>
  <c r="Z85" i="82"/>
  <c r="X85" i="82"/>
  <c r="N85" i="82"/>
  <c r="L85" i="82"/>
  <c r="B85" i="82"/>
  <c r="X84" i="82"/>
  <c r="Z84" i="82" s="1"/>
  <c r="V84" i="82"/>
  <c r="L84" i="82"/>
  <c r="N84" i="82" s="1"/>
  <c r="B84" i="82"/>
  <c r="X83" i="82"/>
  <c r="Z83" i="82" s="1"/>
  <c r="V83" i="82"/>
  <c r="T83" i="82"/>
  <c r="P83" i="82"/>
  <c r="H83" i="82"/>
  <c r="D83" i="82"/>
  <c r="B83" i="82"/>
  <c r="X82" i="82"/>
  <c r="Z82" i="82" s="1"/>
  <c r="N82" i="82"/>
  <c r="L82" i="82"/>
  <c r="B82" i="82"/>
  <c r="Z81" i="82"/>
  <c r="X81" i="82"/>
  <c r="N81" i="82"/>
  <c r="L81" i="82"/>
  <c r="B81" i="82"/>
  <c r="Z80" i="82"/>
  <c r="X80" i="82"/>
  <c r="V80" i="82"/>
  <c r="L80" i="82"/>
  <c r="N80" i="82" s="1"/>
  <c r="B80" i="82"/>
  <c r="X79" i="82"/>
  <c r="Z79" i="82" s="1"/>
  <c r="V79" i="82"/>
  <c r="N79" i="82"/>
  <c r="L79" i="82"/>
  <c r="J79" i="82"/>
  <c r="B79" i="82"/>
  <c r="X78" i="82"/>
  <c r="Z78" i="82" s="1"/>
  <c r="N78" i="82"/>
  <c r="L78" i="82"/>
  <c r="B78" i="82"/>
  <c r="Z77" i="82"/>
  <c r="X77" i="82"/>
  <c r="N77" i="82"/>
  <c r="L77" i="82"/>
  <c r="B77" i="82"/>
  <c r="T76" i="82"/>
  <c r="P76" i="82"/>
  <c r="H76" i="82"/>
  <c r="D76" i="82"/>
  <c r="L76" i="82" s="1"/>
  <c r="N76" i="82" s="1"/>
  <c r="B76" i="82"/>
  <c r="X75" i="82"/>
  <c r="Z75" i="82" s="1"/>
  <c r="V75" i="82"/>
  <c r="N75" i="82"/>
  <c r="L75" i="82"/>
  <c r="J75" i="82"/>
  <c r="B75" i="82"/>
  <c r="Z74" i="82"/>
  <c r="X74" i="82"/>
  <c r="T74" i="82"/>
  <c r="P74" i="82"/>
  <c r="H74" i="82"/>
  <c r="D74" i="82"/>
  <c r="B74" i="82"/>
  <c r="Z73" i="82"/>
  <c r="X73" i="82"/>
  <c r="N73" i="82"/>
  <c r="L73" i="82"/>
  <c r="B73" i="82"/>
  <c r="X72" i="82"/>
  <c r="Z72" i="82" s="1"/>
  <c r="V72" i="82"/>
  <c r="L72" i="82"/>
  <c r="N72" i="82" s="1"/>
  <c r="B72" i="82"/>
  <c r="X71" i="82"/>
  <c r="Z71" i="82" s="1"/>
  <c r="V71" i="82"/>
  <c r="N71" i="82"/>
  <c r="L71" i="82"/>
  <c r="J71" i="82"/>
  <c r="B71" i="82"/>
  <c r="X70" i="82"/>
  <c r="Z70" i="82" s="1"/>
  <c r="L70" i="82"/>
  <c r="N70" i="82" s="1"/>
  <c r="B70" i="82"/>
  <c r="T69" i="82"/>
  <c r="P69" i="82"/>
  <c r="X69" i="82" s="1"/>
  <c r="Z69" i="82" s="1"/>
  <c r="L69" i="82"/>
  <c r="N69" i="82" s="1"/>
  <c r="J69" i="82"/>
  <c r="H69" i="82"/>
  <c r="D69" i="82"/>
  <c r="B69" i="82"/>
  <c r="X68" i="82"/>
  <c r="Z68" i="82" s="1"/>
  <c r="V68" i="82"/>
  <c r="L68" i="82"/>
  <c r="N68" i="82" s="1"/>
  <c r="B68" i="82"/>
  <c r="X67" i="82"/>
  <c r="Z67" i="82" s="1"/>
  <c r="V67" i="82"/>
  <c r="N67" i="82"/>
  <c r="L67" i="82"/>
  <c r="J67" i="82"/>
  <c r="B67" i="82"/>
  <c r="X66" i="82"/>
  <c r="Z66" i="82" s="1"/>
  <c r="T66" i="82"/>
  <c r="P66" i="82"/>
  <c r="H66" i="82"/>
  <c r="D66" i="82"/>
  <c r="B66" i="82"/>
  <c r="Z65" i="82"/>
  <c r="X65" i="82"/>
  <c r="N65" i="82"/>
  <c r="L65" i="82"/>
  <c r="B65" i="82"/>
  <c r="V64" i="82"/>
  <c r="T64" i="82"/>
  <c r="P64" i="82"/>
  <c r="L64" i="82"/>
  <c r="H64" i="82"/>
  <c r="N64" i="82" s="1"/>
  <c r="D64" i="82"/>
  <c r="B64" i="82"/>
  <c r="Z63" i="82"/>
  <c r="X63" i="82"/>
  <c r="V63" i="82"/>
  <c r="L63" i="82"/>
  <c r="N63" i="82" s="1"/>
  <c r="J63" i="82"/>
  <c r="B63" i="82"/>
  <c r="X62" i="82"/>
  <c r="T62" i="82"/>
  <c r="Z62" i="82" s="1"/>
  <c r="P62" i="82"/>
  <c r="H62" i="82"/>
  <c r="D62" i="82"/>
  <c r="L62" i="82" s="1"/>
  <c r="B62" i="82"/>
  <c r="Z61" i="82"/>
  <c r="X61" i="82"/>
  <c r="N61" i="82"/>
  <c r="L61" i="82"/>
  <c r="B61" i="82"/>
  <c r="T60" i="82"/>
  <c r="P60" i="82"/>
  <c r="X60" i="82" s="1"/>
  <c r="H60" i="82"/>
  <c r="D60" i="82"/>
  <c r="L60" i="82" s="1"/>
  <c r="N60" i="82" s="1"/>
  <c r="B60" i="82"/>
  <c r="X59" i="82"/>
  <c r="Z59" i="82" s="1"/>
  <c r="V59" i="82"/>
  <c r="N59" i="82"/>
  <c r="L59" i="82"/>
  <c r="J59" i="82"/>
  <c r="B59" i="82"/>
  <c r="T58" i="82"/>
  <c r="P58" i="82"/>
  <c r="X58" i="82" s="1"/>
  <c r="Z58" i="82" s="1"/>
  <c r="J58" i="82"/>
  <c r="H58" i="82"/>
  <c r="D58" i="82"/>
  <c r="B58" i="82"/>
  <c r="Z57" i="82"/>
  <c r="X57" i="82"/>
  <c r="N57" i="82"/>
  <c r="L57" i="82"/>
  <c r="B57" i="82"/>
  <c r="T56" i="82"/>
  <c r="P56" i="82"/>
  <c r="X56" i="82" s="1"/>
  <c r="H56" i="82"/>
  <c r="D56" i="82"/>
  <c r="L56" i="82" s="1"/>
  <c r="B56" i="82"/>
  <c r="Z55" i="82"/>
  <c r="X55" i="82"/>
  <c r="V55" i="82"/>
  <c r="L55" i="82"/>
  <c r="N55" i="82" s="1"/>
  <c r="J55" i="82"/>
  <c r="B55" i="82"/>
  <c r="Z54" i="82"/>
  <c r="X54" i="82"/>
  <c r="N54" i="82"/>
  <c r="L54" i="82"/>
  <c r="B54" i="82"/>
  <c r="T53" i="82"/>
  <c r="P53" i="82"/>
  <c r="X53" i="82" s="1"/>
  <c r="J53" i="82"/>
  <c r="H53" i="82"/>
  <c r="D53" i="82"/>
  <c r="L53" i="82" s="1"/>
  <c r="N53" i="82" s="1"/>
  <c r="B53" i="82"/>
  <c r="X52" i="82"/>
  <c r="Z52" i="82" s="1"/>
  <c r="L52" i="82"/>
  <c r="N52" i="82" s="1"/>
  <c r="J52" i="82"/>
  <c r="B52" i="82"/>
  <c r="V51" i="82"/>
  <c r="T51" i="82"/>
  <c r="P51" i="82"/>
  <c r="X51" i="82" s="1"/>
  <c r="Z51" i="82" s="1"/>
  <c r="H51" i="82"/>
  <c r="L51" i="82" s="1"/>
  <c r="N51" i="82" s="1"/>
  <c r="D51" i="82"/>
  <c r="B51" i="82"/>
  <c r="Z50" i="82"/>
  <c r="X50" i="82"/>
  <c r="L50" i="82"/>
  <c r="N50" i="82" s="1"/>
  <c r="B50" i="82"/>
  <c r="T49" i="82"/>
  <c r="X49" i="82" s="1"/>
  <c r="Z49" i="82" s="1"/>
  <c r="P49" i="82"/>
  <c r="L49" i="82"/>
  <c r="N49" i="82" s="1"/>
  <c r="J49" i="82"/>
  <c r="H49" i="82"/>
  <c r="D49" i="82"/>
  <c r="B49" i="82"/>
  <c r="Z48" i="82"/>
  <c r="X48" i="82"/>
  <c r="V48" i="82"/>
  <c r="N48" i="82"/>
  <c r="L48" i="82"/>
  <c r="B48" i="82"/>
  <c r="Z47" i="82"/>
  <c r="X47" i="82"/>
  <c r="V47" i="82"/>
  <c r="T47" i="82"/>
  <c r="P47" i="82"/>
  <c r="H47" i="82"/>
  <c r="N47" i="82" s="1"/>
  <c r="D47" i="82"/>
  <c r="L47" i="82" s="1"/>
  <c r="B47" i="82"/>
  <c r="Z46" i="82"/>
  <c r="X46" i="82"/>
  <c r="N46" i="82"/>
  <c r="L46" i="82"/>
  <c r="B46" i="82"/>
  <c r="Z45" i="82"/>
  <c r="X45" i="82"/>
  <c r="N45" i="82"/>
  <c r="L45" i="82"/>
  <c r="B45" i="82"/>
  <c r="X44" i="82"/>
  <c r="Z44" i="82" s="1"/>
  <c r="V44" i="82"/>
  <c r="L44" i="82"/>
  <c r="N44" i="82" s="1"/>
  <c r="B44" i="82"/>
  <c r="X43" i="82"/>
  <c r="Z43" i="82" s="1"/>
  <c r="V43" i="82"/>
  <c r="N43" i="82"/>
  <c r="L43" i="82"/>
  <c r="J43" i="82"/>
  <c r="B43" i="82"/>
  <c r="Z42" i="82"/>
  <c r="X42" i="82"/>
  <c r="N42" i="82"/>
  <c r="L42" i="82"/>
  <c r="B42" i="82"/>
  <c r="Z41" i="82"/>
  <c r="X41" i="82"/>
  <c r="N41" i="82"/>
  <c r="L41" i="82"/>
  <c r="B41" i="82"/>
  <c r="X40" i="82"/>
  <c r="Z40" i="82" s="1"/>
  <c r="L40" i="82"/>
  <c r="N40" i="82" s="1"/>
  <c r="J40" i="82"/>
  <c r="B40" i="82"/>
  <c r="Z39" i="82"/>
  <c r="X39" i="82"/>
  <c r="V39" i="82"/>
  <c r="N39" i="82"/>
  <c r="L39" i="82"/>
  <c r="J39" i="82"/>
  <c r="B39" i="82"/>
  <c r="X38" i="82"/>
  <c r="Z38" i="82" s="1"/>
  <c r="L38" i="82"/>
  <c r="N38" i="82" s="1"/>
  <c r="B38" i="82"/>
  <c r="Z37" i="82"/>
  <c r="X37" i="82"/>
  <c r="N37" i="82"/>
  <c r="L37" i="82"/>
  <c r="B37" i="82"/>
  <c r="T36" i="82"/>
  <c r="P36" i="82"/>
  <c r="H36" i="82"/>
  <c r="D36" i="82"/>
  <c r="L36" i="82" s="1"/>
  <c r="B36" i="82"/>
  <c r="Z35" i="82"/>
  <c r="X35" i="82"/>
  <c r="V35" i="82"/>
  <c r="L35" i="82"/>
  <c r="N35" i="82" s="1"/>
  <c r="J35" i="82"/>
  <c r="B35" i="82"/>
  <c r="X34" i="82"/>
  <c r="Z34" i="82" s="1"/>
  <c r="L34" i="82"/>
  <c r="N34" i="82" s="1"/>
  <c r="B34" i="82"/>
  <c r="Z33" i="82"/>
  <c r="X33" i="82"/>
  <c r="N33" i="82"/>
  <c r="L33" i="82"/>
  <c r="B33" i="82"/>
  <c r="Z32" i="82"/>
  <c r="X32" i="82"/>
  <c r="V32" i="82"/>
  <c r="N32" i="82"/>
  <c r="L32" i="82"/>
  <c r="B32" i="82"/>
  <c r="X31" i="82"/>
  <c r="Z31" i="82" s="1"/>
  <c r="V31" i="82"/>
  <c r="N31" i="82"/>
  <c r="L31" i="82"/>
  <c r="J31" i="82"/>
  <c r="B31" i="82"/>
  <c r="Z30" i="82"/>
  <c r="X30" i="82"/>
  <c r="L30" i="82"/>
  <c r="N30" i="82" s="1"/>
  <c r="B30" i="82"/>
  <c r="Z29" i="82"/>
  <c r="X29" i="82"/>
  <c r="N29" i="82"/>
  <c r="L29" i="82"/>
  <c r="B29" i="82"/>
  <c r="X28" i="82"/>
  <c r="Z28" i="82" s="1"/>
  <c r="L28" i="82"/>
  <c r="N28" i="82" s="1"/>
  <c r="J28" i="82"/>
  <c r="B28" i="82"/>
  <c r="Z27" i="82"/>
  <c r="X27" i="82"/>
  <c r="V27" i="82"/>
  <c r="L27" i="82"/>
  <c r="N27" i="82" s="1"/>
  <c r="J27" i="82"/>
  <c r="B27" i="82"/>
  <c r="X26" i="82"/>
  <c r="T26" i="82"/>
  <c r="Z26" i="82" s="1"/>
  <c r="P26" i="82"/>
  <c r="H26" i="82"/>
  <c r="D26" i="82"/>
  <c r="L26" i="82" s="1"/>
  <c r="B26" i="82"/>
  <c r="T25" i="82"/>
  <c r="P25" i="82"/>
  <c r="X25" i="82" s="1"/>
  <c r="Z25" i="82" s="1"/>
  <c r="L25" i="82"/>
  <c r="J25" i="82"/>
  <c r="H25" i="82"/>
  <c r="N25" i="82" s="1"/>
  <c r="D25" i="82"/>
  <c r="T23" i="82"/>
  <c r="Z21" i="82"/>
  <c r="X21" i="82"/>
  <c r="N21" i="82"/>
  <c r="L21" i="82"/>
  <c r="B21" i="82"/>
  <c r="Z20" i="82"/>
  <c r="X20" i="82"/>
  <c r="V20" i="82"/>
  <c r="N20" i="82"/>
  <c r="L20" i="82"/>
  <c r="J20" i="82"/>
  <c r="B20" i="82"/>
  <c r="X19" i="82"/>
  <c r="Z19" i="82" s="1"/>
  <c r="V19" i="82"/>
  <c r="L19" i="82"/>
  <c r="N19" i="82" s="1"/>
  <c r="J19" i="82"/>
  <c r="B19" i="82"/>
  <c r="T18" i="82"/>
  <c r="P18" i="82"/>
  <c r="X18" i="82" s="1"/>
  <c r="Z18" i="82" s="1"/>
  <c r="J18" i="82"/>
  <c r="H18" i="82"/>
  <c r="D18" i="82"/>
  <c r="Z16" i="82"/>
  <c r="X16" i="82"/>
  <c r="P16" i="82"/>
  <c r="N16" i="82"/>
  <c r="L16" i="82"/>
  <c r="D16" i="82"/>
  <c r="B16" i="82"/>
  <c r="P15" i="82"/>
  <c r="X15" i="82" s="1"/>
  <c r="Z15" i="82" s="1"/>
  <c r="D15" i="82"/>
  <c r="L15" i="82" s="1"/>
  <c r="N15" i="82" s="1"/>
  <c r="B15" i="82"/>
  <c r="Z14" i="82"/>
  <c r="P14" i="82"/>
  <c r="N14" i="82"/>
  <c r="L14" i="82"/>
  <c r="D14" i="82"/>
  <c r="B14" i="82"/>
  <c r="Z13" i="82"/>
  <c r="X13" i="82"/>
  <c r="P13" i="82"/>
  <c r="L13" i="82"/>
  <c r="N13" i="82" s="1"/>
  <c r="D13" i="82"/>
  <c r="B13" i="82"/>
  <c r="T12" i="82"/>
  <c r="V86" i="82" s="1"/>
  <c r="H12" i="82"/>
  <c r="D6" i="82"/>
  <c r="D4" i="82"/>
  <c r="V35" i="81"/>
  <c r="Z30" i="81"/>
  <c r="X30" i="81"/>
  <c r="N30" i="81"/>
  <c r="L30" i="81"/>
  <c r="V28" i="81"/>
  <c r="J28" i="81"/>
  <c r="Z26" i="81"/>
  <c r="V26" i="81"/>
  <c r="T26" i="81"/>
  <c r="X26" i="81" s="1"/>
  <c r="P26" i="81"/>
  <c r="N26" i="81"/>
  <c r="H26" i="81"/>
  <c r="D26" i="81"/>
  <c r="L26" i="81" s="1"/>
  <c r="Z24" i="81"/>
  <c r="X24" i="81"/>
  <c r="V24" i="81"/>
  <c r="N24" i="81"/>
  <c r="L24" i="81"/>
  <c r="J24" i="81"/>
  <c r="B24" i="81"/>
  <c r="X23" i="81"/>
  <c r="V23" i="81"/>
  <c r="T23" i="81"/>
  <c r="Z23" i="81" s="1"/>
  <c r="P23" i="81"/>
  <c r="N23" i="81"/>
  <c r="L23" i="81"/>
  <c r="H23" i="81"/>
  <c r="D23" i="81"/>
  <c r="B23" i="81"/>
  <c r="Z22" i="81"/>
  <c r="X22" i="81"/>
  <c r="V22" i="81"/>
  <c r="N22" i="81"/>
  <c r="L22" i="81"/>
  <c r="B22" i="81"/>
  <c r="V21" i="81"/>
  <c r="T21" i="81"/>
  <c r="Z21" i="81" s="1"/>
  <c r="P21" i="81"/>
  <c r="N21" i="81"/>
  <c r="L21" i="81"/>
  <c r="H21" i="81"/>
  <c r="F21" i="81"/>
  <c r="D21" i="81"/>
  <c r="B21" i="81"/>
  <c r="Z20" i="81"/>
  <c r="X20" i="81"/>
  <c r="V20" i="81"/>
  <c r="N20" i="81"/>
  <c r="L20" i="81"/>
  <c r="J20" i="81"/>
  <c r="B20" i="81"/>
  <c r="Z19" i="81"/>
  <c r="T19" i="81"/>
  <c r="P19" i="81"/>
  <c r="X19" i="81" s="1"/>
  <c r="J19" i="81"/>
  <c r="H19" i="81"/>
  <c r="D19" i="81"/>
  <c r="B19" i="81"/>
  <c r="T18" i="81"/>
  <c r="Z18" i="81" s="1"/>
  <c r="P18" i="81"/>
  <c r="X18" i="81" s="1"/>
  <c r="L18" i="81"/>
  <c r="J18" i="81"/>
  <c r="H18" i="81"/>
  <c r="N18" i="81" s="1"/>
  <c r="D18" i="81"/>
  <c r="J16" i="81"/>
  <c r="D16" i="81"/>
  <c r="V14" i="81"/>
  <c r="T14" i="81"/>
  <c r="X14" i="81" s="1"/>
  <c r="P14" i="81"/>
  <c r="L14" i="81"/>
  <c r="J14" i="81"/>
  <c r="H14" i="81"/>
  <c r="N14" i="81" s="1"/>
  <c r="D14" i="81"/>
  <c r="Z12" i="81"/>
  <c r="T12" i="81"/>
  <c r="V32" i="81" s="1"/>
  <c r="P12" i="81"/>
  <c r="R19" i="81" s="1"/>
  <c r="N12" i="81"/>
  <c r="H12" i="81"/>
  <c r="J30" i="81" s="1"/>
  <c r="D12" i="81"/>
  <c r="D6" i="81"/>
  <c r="D4" i="81"/>
  <c r="V35" i="80"/>
  <c r="F35" i="80"/>
  <c r="V32" i="80"/>
  <c r="Z30" i="80"/>
  <c r="X30" i="80"/>
  <c r="V30" i="80"/>
  <c r="N30" i="80"/>
  <c r="L30" i="80"/>
  <c r="J30" i="80"/>
  <c r="V28" i="80"/>
  <c r="X26" i="80"/>
  <c r="V26" i="80"/>
  <c r="T26" i="80"/>
  <c r="Z26" i="80" s="1"/>
  <c r="P26" i="80"/>
  <c r="H26" i="80"/>
  <c r="N26" i="80" s="1"/>
  <c r="F26" i="80"/>
  <c r="D26" i="80"/>
  <c r="Z24" i="80"/>
  <c r="X24" i="80"/>
  <c r="V24" i="80"/>
  <c r="N24" i="80"/>
  <c r="L24" i="80"/>
  <c r="J24" i="80"/>
  <c r="B24" i="80"/>
  <c r="Z23" i="80"/>
  <c r="X23" i="80"/>
  <c r="T23" i="80"/>
  <c r="P23" i="80"/>
  <c r="J23" i="80"/>
  <c r="H23" i="80"/>
  <c r="D23" i="80"/>
  <c r="B23" i="80"/>
  <c r="Z22" i="80"/>
  <c r="X22" i="80"/>
  <c r="N22" i="80"/>
  <c r="L22" i="80"/>
  <c r="F22" i="80"/>
  <c r="B22" i="80"/>
  <c r="V21" i="80"/>
  <c r="T21" i="80"/>
  <c r="P21" i="80"/>
  <c r="N21" i="80"/>
  <c r="H21" i="80"/>
  <c r="F21" i="80"/>
  <c r="D21" i="80"/>
  <c r="L21" i="80" s="1"/>
  <c r="B21" i="80"/>
  <c r="X20" i="80"/>
  <c r="Z20" i="80" s="1"/>
  <c r="V20" i="80"/>
  <c r="L20" i="80"/>
  <c r="N20" i="80" s="1"/>
  <c r="J20" i="80"/>
  <c r="B20" i="80"/>
  <c r="X19" i="80"/>
  <c r="Z19" i="80" s="1"/>
  <c r="T19" i="80"/>
  <c r="P19" i="80"/>
  <c r="J19" i="80"/>
  <c r="H19" i="80"/>
  <c r="D19" i="80"/>
  <c r="L19" i="80" s="1"/>
  <c r="B19" i="80"/>
  <c r="T18" i="80"/>
  <c r="P18" i="80"/>
  <c r="J18" i="80"/>
  <c r="H18" i="80"/>
  <c r="D18" i="80"/>
  <c r="L18" i="80" s="1"/>
  <c r="J16" i="80"/>
  <c r="T14" i="80"/>
  <c r="P14" i="80"/>
  <c r="L14" i="80"/>
  <c r="J14" i="80"/>
  <c r="H14" i="80"/>
  <c r="N14" i="80" s="1"/>
  <c r="D14" i="80"/>
  <c r="Z12" i="80"/>
  <c r="T12" i="80"/>
  <c r="V23" i="80" s="1"/>
  <c r="P12" i="80"/>
  <c r="N12" i="80"/>
  <c r="H12" i="80"/>
  <c r="J32" i="80" s="1"/>
  <c r="D12" i="80"/>
  <c r="F32" i="80" s="1"/>
  <c r="D6" i="80"/>
  <c r="D4" i="80"/>
  <c r="V37" i="79"/>
  <c r="F37" i="79"/>
  <c r="F34" i="79"/>
  <c r="Z32" i="79"/>
  <c r="X32" i="79"/>
  <c r="N32" i="79"/>
  <c r="L32" i="79"/>
  <c r="J32" i="79"/>
  <c r="F30" i="79"/>
  <c r="X28" i="79"/>
  <c r="V28" i="79"/>
  <c r="T28" i="79"/>
  <c r="Z28" i="79" s="1"/>
  <c r="P28" i="79"/>
  <c r="N28" i="79"/>
  <c r="H28" i="79"/>
  <c r="L28" i="79" s="1"/>
  <c r="F28" i="79"/>
  <c r="D28" i="79"/>
  <c r="Z26" i="79"/>
  <c r="X26" i="79"/>
  <c r="V26" i="79"/>
  <c r="N26" i="79"/>
  <c r="L26" i="79"/>
  <c r="B26" i="79"/>
  <c r="Z25" i="79"/>
  <c r="X25" i="79"/>
  <c r="T25" i="79"/>
  <c r="R25" i="79"/>
  <c r="P25" i="79"/>
  <c r="H25" i="79"/>
  <c r="D25" i="79"/>
  <c r="B25" i="79"/>
  <c r="Z24" i="79"/>
  <c r="X24" i="79"/>
  <c r="R24" i="79"/>
  <c r="N24" i="79"/>
  <c r="L24" i="79"/>
  <c r="F24" i="79"/>
  <c r="B24" i="79"/>
  <c r="T23" i="79"/>
  <c r="P23" i="79"/>
  <c r="N23" i="79"/>
  <c r="L23" i="79"/>
  <c r="H23" i="79"/>
  <c r="F23" i="79"/>
  <c r="D23" i="79"/>
  <c r="B23" i="79"/>
  <c r="Z22" i="79"/>
  <c r="X22" i="79"/>
  <c r="V22" i="79"/>
  <c r="N22" i="79"/>
  <c r="L22" i="79"/>
  <c r="B22" i="79"/>
  <c r="Z21" i="79"/>
  <c r="X21" i="79"/>
  <c r="T21" i="79"/>
  <c r="R21" i="79"/>
  <c r="P21" i="79"/>
  <c r="H21" i="79"/>
  <c r="N21" i="79" s="1"/>
  <c r="D21" i="79"/>
  <c r="L21" i="79" s="1"/>
  <c r="B21" i="79"/>
  <c r="Z20" i="79"/>
  <c r="X20" i="79"/>
  <c r="R20" i="79"/>
  <c r="N20" i="79"/>
  <c r="L20" i="79"/>
  <c r="F20" i="79"/>
  <c r="B20" i="79"/>
  <c r="T19" i="79"/>
  <c r="P19" i="79"/>
  <c r="X19" i="79" s="1"/>
  <c r="H19" i="79"/>
  <c r="F19" i="79"/>
  <c r="D19" i="79"/>
  <c r="L19" i="79" s="1"/>
  <c r="N19" i="79" s="1"/>
  <c r="B19" i="79"/>
  <c r="V18" i="79"/>
  <c r="T18" i="79"/>
  <c r="P18" i="79"/>
  <c r="X18" i="79" s="1"/>
  <c r="H18" i="79"/>
  <c r="F18" i="79"/>
  <c r="D18" i="79"/>
  <c r="V16" i="79"/>
  <c r="P16" i="79"/>
  <c r="F16" i="79"/>
  <c r="T14" i="79"/>
  <c r="Z14" i="79" s="1"/>
  <c r="P14" i="79"/>
  <c r="X14" i="79" s="1"/>
  <c r="N14" i="79"/>
  <c r="H14" i="79"/>
  <c r="F14" i="79"/>
  <c r="D14" i="79"/>
  <c r="X12" i="79"/>
  <c r="T12" i="79"/>
  <c r="P12" i="79"/>
  <c r="R32" i="79" s="1"/>
  <c r="L12" i="79"/>
  <c r="H12" i="79"/>
  <c r="D12" i="79"/>
  <c r="F25" i="79" s="1"/>
  <c r="D6" i="79"/>
  <c r="D4" i="79"/>
  <c r="R82" i="78"/>
  <c r="J82" i="78"/>
  <c r="R79" i="78"/>
  <c r="J79" i="78"/>
  <c r="Z77" i="78"/>
  <c r="X77" i="78"/>
  <c r="R77" i="78"/>
  <c r="N77" i="78"/>
  <c r="L77" i="78"/>
  <c r="F77" i="78"/>
  <c r="R75" i="78"/>
  <c r="J75" i="78"/>
  <c r="Z73" i="78"/>
  <c r="R73" i="78"/>
  <c r="P73" i="78"/>
  <c r="X73" i="78" s="1"/>
  <c r="N73" i="78"/>
  <c r="J73" i="78"/>
  <c r="F73" i="78"/>
  <c r="D73" i="78"/>
  <c r="L73" i="78" s="1"/>
  <c r="B73" i="78"/>
  <c r="Z72" i="78"/>
  <c r="T72" i="78"/>
  <c r="R72" i="78"/>
  <c r="P72" i="78"/>
  <c r="X72" i="78" s="1"/>
  <c r="J72" i="78"/>
  <c r="H72" i="78"/>
  <c r="N72" i="78" s="1"/>
  <c r="Z70" i="78"/>
  <c r="X70" i="78"/>
  <c r="L70" i="78"/>
  <c r="N70" i="78" s="1"/>
  <c r="B70" i="78"/>
  <c r="Z69" i="78"/>
  <c r="T69" i="78"/>
  <c r="X69" i="78" s="1"/>
  <c r="R69" i="78"/>
  <c r="P69" i="78"/>
  <c r="J69" i="78"/>
  <c r="H69" i="78"/>
  <c r="D69" i="78"/>
  <c r="L69" i="78" s="1"/>
  <c r="B69" i="78"/>
  <c r="Z68" i="78"/>
  <c r="X68" i="78"/>
  <c r="V68" i="78"/>
  <c r="R68" i="78"/>
  <c r="N68" i="78"/>
  <c r="L68" i="78"/>
  <c r="J68" i="78"/>
  <c r="F68" i="78"/>
  <c r="B68" i="78"/>
  <c r="X67" i="78"/>
  <c r="V67" i="78"/>
  <c r="T67" i="78"/>
  <c r="Z67" i="78" s="1"/>
  <c r="P67" i="78"/>
  <c r="H67" i="78"/>
  <c r="N67" i="78" s="1"/>
  <c r="F67" i="78"/>
  <c r="D67" i="78"/>
  <c r="B67" i="78"/>
  <c r="Z66" i="78"/>
  <c r="X66" i="78"/>
  <c r="N66" i="78"/>
  <c r="L66" i="78"/>
  <c r="B66" i="78"/>
  <c r="Z65" i="78"/>
  <c r="T65" i="78"/>
  <c r="R65" i="78"/>
  <c r="P65" i="78"/>
  <c r="X65" i="78" s="1"/>
  <c r="N65" i="78"/>
  <c r="J65" i="78"/>
  <c r="H65" i="78"/>
  <c r="D65" i="78"/>
  <c r="L65" i="78" s="1"/>
  <c r="B65" i="78"/>
  <c r="Z64" i="78"/>
  <c r="X64" i="78"/>
  <c r="V64" i="78"/>
  <c r="R64" i="78"/>
  <c r="N64" i="78"/>
  <c r="L64" i="78"/>
  <c r="J64" i="78"/>
  <c r="F64" i="78"/>
  <c r="B64" i="78"/>
  <c r="Z63" i="78"/>
  <c r="V63" i="78"/>
  <c r="T63" i="78"/>
  <c r="P63" i="78"/>
  <c r="X63" i="78" s="1"/>
  <c r="N63" i="78"/>
  <c r="H63" i="78"/>
  <c r="L63" i="78" s="1"/>
  <c r="F63" i="78"/>
  <c r="D63" i="78"/>
  <c r="B63" i="78"/>
  <c r="Z62" i="78"/>
  <c r="X62" i="78"/>
  <c r="N62" i="78"/>
  <c r="L62" i="78"/>
  <c r="B62" i="78"/>
  <c r="Z61" i="78"/>
  <c r="T61" i="78"/>
  <c r="X61" i="78" s="1"/>
  <c r="R61" i="78"/>
  <c r="P61" i="78"/>
  <c r="J61" i="78"/>
  <c r="H61" i="78"/>
  <c r="N61" i="78" s="1"/>
  <c r="D61" i="78"/>
  <c r="L61" i="78" s="1"/>
  <c r="B61" i="78"/>
  <c r="Z60" i="78"/>
  <c r="X60" i="78"/>
  <c r="V60" i="78"/>
  <c r="R60" i="78"/>
  <c r="N60" i="78"/>
  <c r="L60" i="78"/>
  <c r="J60" i="78"/>
  <c r="F60" i="78"/>
  <c r="B60" i="78"/>
  <c r="Z59" i="78"/>
  <c r="X59" i="78"/>
  <c r="V59" i="78"/>
  <c r="N59" i="78"/>
  <c r="L59" i="78"/>
  <c r="J59" i="78"/>
  <c r="B59" i="78"/>
  <c r="Z58" i="78"/>
  <c r="X58" i="78"/>
  <c r="L58" i="78"/>
  <c r="N58" i="78" s="1"/>
  <c r="B58" i="78"/>
  <c r="Z57" i="78"/>
  <c r="T57" i="78"/>
  <c r="X57" i="78" s="1"/>
  <c r="R57" i="78"/>
  <c r="P57" i="78"/>
  <c r="J57" i="78"/>
  <c r="H57" i="78"/>
  <c r="D57" i="78"/>
  <c r="L57" i="78" s="1"/>
  <c r="B57" i="78"/>
  <c r="Z56" i="78"/>
  <c r="X56" i="78"/>
  <c r="V56" i="78"/>
  <c r="R56" i="78"/>
  <c r="N56" i="78"/>
  <c r="L56" i="78"/>
  <c r="J56" i="78"/>
  <c r="F56" i="78"/>
  <c r="B56" i="78"/>
  <c r="Z55" i="78"/>
  <c r="X55" i="78"/>
  <c r="V55" i="78"/>
  <c r="N55" i="78"/>
  <c r="L55" i="78"/>
  <c r="J55" i="78"/>
  <c r="B55" i="78"/>
  <c r="Z54" i="78"/>
  <c r="X54" i="78"/>
  <c r="N54" i="78"/>
  <c r="L54" i="78"/>
  <c r="B54" i="78"/>
  <c r="T53" i="78"/>
  <c r="R53" i="78"/>
  <c r="P53" i="78"/>
  <c r="L53" i="78"/>
  <c r="J53" i="78"/>
  <c r="H53" i="78"/>
  <c r="N53" i="78" s="1"/>
  <c r="D53" i="78"/>
  <c r="B53" i="78"/>
  <c r="Z52" i="78"/>
  <c r="X52" i="78"/>
  <c r="V52" i="78"/>
  <c r="R52" i="78"/>
  <c r="N52" i="78"/>
  <c r="L52" i="78"/>
  <c r="J52" i="78"/>
  <c r="F52" i="78"/>
  <c r="B52" i="78"/>
  <c r="X51" i="78"/>
  <c r="V51" i="78"/>
  <c r="T51" i="78"/>
  <c r="P51" i="78"/>
  <c r="H51" i="78"/>
  <c r="F51" i="78"/>
  <c r="D51" i="78"/>
  <c r="L51" i="78" s="1"/>
  <c r="N51" i="78" s="1"/>
  <c r="B51" i="78"/>
  <c r="X50" i="78"/>
  <c r="Z50" i="78" s="1"/>
  <c r="N50" i="78"/>
  <c r="L50" i="78"/>
  <c r="B50" i="78"/>
  <c r="T49" i="78"/>
  <c r="R49" i="78"/>
  <c r="P49" i="78"/>
  <c r="L49" i="78"/>
  <c r="J49" i="78"/>
  <c r="H49" i="78"/>
  <c r="D49" i="78"/>
  <c r="B49" i="78"/>
  <c r="Z48" i="78"/>
  <c r="X48" i="78"/>
  <c r="V48" i="78"/>
  <c r="R48" i="78"/>
  <c r="N48" i="78"/>
  <c r="L48" i="78"/>
  <c r="J48" i="78"/>
  <c r="F48" i="78"/>
  <c r="B48" i="78"/>
  <c r="X47" i="78"/>
  <c r="V47" i="78"/>
  <c r="T47" i="78"/>
  <c r="P47" i="78"/>
  <c r="N47" i="78"/>
  <c r="H47" i="78"/>
  <c r="L47" i="78" s="1"/>
  <c r="F47" i="78"/>
  <c r="D47" i="78"/>
  <c r="B47" i="78"/>
  <c r="Z46" i="78"/>
  <c r="X46" i="78"/>
  <c r="N46" i="78"/>
  <c r="L46" i="78"/>
  <c r="B46" i="78"/>
  <c r="T45" i="78"/>
  <c r="R45" i="78"/>
  <c r="P45" i="78"/>
  <c r="L45" i="78"/>
  <c r="J45" i="78"/>
  <c r="H45" i="78"/>
  <c r="N45" i="78" s="1"/>
  <c r="D45" i="78"/>
  <c r="B45" i="78"/>
  <c r="Z44" i="78"/>
  <c r="X44" i="78"/>
  <c r="V44" i="78"/>
  <c r="R44" i="78"/>
  <c r="N44" i="78"/>
  <c r="L44" i="78"/>
  <c r="J44" i="78"/>
  <c r="F44" i="78"/>
  <c r="B44" i="78"/>
  <c r="Z43" i="78"/>
  <c r="X43" i="78"/>
  <c r="V43" i="78"/>
  <c r="N43" i="78"/>
  <c r="L43" i="78"/>
  <c r="J43" i="78"/>
  <c r="B43" i="78"/>
  <c r="X42" i="78"/>
  <c r="Z42" i="78" s="1"/>
  <c r="T42" i="78"/>
  <c r="R42" i="78"/>
  <c r="P42" i="78"/>
  <c r="J42" i="78"/>
  <c r="H42" i="78"/>
  <c r="D42" i="78"/>
  <c r="B42" i="78"/>
  <c r="Z41" i="78"/>
  <c r="X41" i="78"/>
  <c r="R41" i="78"/>
  <c r="N41" i="78"/>
  <c r="L41" i="78"/>
  <c r="F41" i="78"/>
  <c r="B41" i="78"/>
  <c r="V40" i="78"/>
  <c r="T40" i="78"/>
  <c r="P40" i="78"/>
  <c r="H40" i="78"/>
  <c r="F40" i="78"/>
  <c r="D40" i="78"/>
  <c r="L40" i="78" s="1"/>
  <c r="N40" i="78" s="1"/>
  <c r="B40" i="78"/>
  <c r="Z39" i="78"/>
  <c r="X39" i="78"/>
  <c r="V39" i="78"/>
  <c r="N39" i="78"/>
  <c r="L39" i="78"/>
  <c r="J39" i="78"/>
  <c r="B39" i="78"/>
  <c r="Z38" i="78"/>
  <c r="X38" i="78"/>
  <c r="N38" i="78"/>
  <c r="L38" i="78"/>
  <c r="B38" i="78"/>
  <c r="Z37" i="78"/>
  <c r="X37" i="78"/>
  <c r="R37" i="78"/>
  <c r="N37" i="78"/>
  <c r="L37" i="78"/>
  <c r="F37" i="78"/>
  <c r="B37" i="78"/>
  <c r="Z36" i="78"/>
  <c r="X36" i="78"/>
  <c r="V36" i="78"/>
  <c r="R36" i="78"/>
  <c r="N36" i="78"/>
  <c r="L36" i="78"/>
  <c r="J36" i="78"/>
  <c r="F36" i="78"/>
  <c r="B36" i="78"/>
  <c r="Z35" i="78"/>
  <c r="X35" i="78"/>
  <c r="V35" i="78"/>
  <c r="N35" i="78"/>
  <c r="L35" i="78"/>
  <c r="J35" i="78"/>
  <c r="B35" i="78"/>
  <c r="Z34" i="78"/>
  <c r="X34" i="78"/>
  <c r="N34" i="78"/>
  <c r="L34" i="78"/>
  <c r="B34" i="78"/>
  <c r="Z33" i="78"/>
  <c r="X33" i="78"/>
  <c r="R33" i="78"/>
  <c r="N33" i="78"/>
  <c r="L33" i="78"/>
  <c r="F33" i="78"/>
  <c r="B33" i="78"/>
  <c r="Z32" i="78"/>
  <c r="X32" i="78"/>
  <c r="V32" i="78"/>
  <c r="R32" i="78"/>
  <c r="N32" i="78"/>
  <c r="L32" i="78"/>
  <c r="J32" i="78"/>
  <c r="F32" i="78"/>
  <c r="B32" i="78"/>
  <c r="X31" i="78"/>
  <c r="Z31" i="78" s="1"/>
  <c r="V31" i="78"/>
  <c r="L31" i="78"/>
  <c r="N31" i="78" s="1"/>
  <c r="J31" i="78"/>
  <c r="B31" i="78"/>
  <c r="X30" i="78"/>
  <c r="Z30" i="78" s="1"/>
  <c r="N30" i="78"/>
  <c r="L30" i="78"/>
  <c r="B30" i="78"/>
  <c r="T29" i="78"/>
  <c r="R29" i="78"/>
  <c r="P29" i="78"/>
  <c r="J29" i="78"/>
  <c r="H29" i="78"/>
  <c r="N29" i="78" s="1"/>
  <c r="D29" i="78"/>
  <c r="L29" i="78" s="1"/>
  <c r="B29" i="78"/>
  <c r="Z28" i="78"/>
  <c r="X28" i="78"/>
  <c r="V28" i="78"/>
  <c r="R28" i="78"/>
  <c r="N28" i="78"/>
  <c r="L28" i="78"/>
  <c r="J28" i="78"/>
  <c r="F28" i="78"/>
  <c r="B28" i="78"/>
  <c r="X27" i="78"/>
  <c r="Z27" i="78" s="1"/>
  <c r="V27" i="78"/>
  <c r="L27" i="78"/>
  <c r="N27" i="78" s="1"/>
  <c r="J27" i="78"/>
  <c r="B27" i="78"/>
  <c r="X26" i="78"/>
  <c r="Z26" i="78" s="1"/>
  <c r="N26" i="78"/>
  <c r="L26" i="78"/>
  <c r="B26" i="78"/>
  <c r="Z25" i="78"/>
  <c r="X25" i="78"/>
  <c r="R25" i="78"/>
  <c r="N25" i="78"/>
  <c r="L25" i="78"/>
  <c r="F25" i="78"/>
  <c r="B25" i="78"/>
  <c r="Z24" i="78"/>
  <c r="X24" i="78"/>
  <c r="V24" i="78"/>
  <c r="R24" i="78"/>
  <c r="N24" i="78"/>
  <c r="L24" i="78"/>
  <c r="J24" i="78"/>
  <c r="F24" i="78"/>
  <c r="B24" i="78"/>
  <c r="X23" i="78"/>
  <c r="Z23" i="78" s="1"/>
  <c r="V23" i="78"/>
  <c r="L23" i="78"/>
  <c r="N23" i="78" s="1"/>
  <c r="J23" i="78"/>
  <c r="B23" i="78"/>
  <c r="Z22" i="78"/>
  <c r="X22" i="78"/>
  <c r="L22" i="78"/>
  <c r="N22" i="78" s="1"/>
  <c r="B22" i="78"/>
  <c r="Z21" i="78"/>
  <c r="X21" i="78"/>
  <c r="R21" i="78"/>
  <c r="N21" i="78"/>
  <c r="L21" i="78"/>
  <c r="F21" i="78"/>
  <c r="B21" i="78"/>
  <c r="Z20" i="78"/>
  <c r="X20" i="78"/>
  <c r="V20" i="78"/>
  <c r="R20" i="78"/>
  <c r="N20" i="78"/>
  <c r="L20" i="78"/>
  <c r="J20" i="78"/>
  <c r="F20" i="78"/>
  <c r="B20" i="78"/>
  <c r="X19" i="78"/>
  <c r="V19" i="78"/>
  <c r="T19" i="78"/>
  <c r="P19" i="78"/>
  <c r="H19" i="78"/>
  <c r="L19" i="78" s="1"/>
  <c r="F19" i="78"/>
  <c r="D19" i="78"/>
  <c r="B19" i="78"/>
  <c r="V18" i="78"/>
  <c r="T18" i="78"/>
  <c r="R18" i="78"/>
  <c r="P18" i="78"/>
  <c r="X18" i="78" s="1"/>
  <c r="Z18" i="78" s="1"/>
  <c r="J18" i="78"/>
  <c r="H18" i="78"/>
  <c r="D18" i="78"/>
  <c r="R16" i="78"/>
  <c r="J16" i="78"/>
  <c r="Z14" i="78"/>
  <c r="X14" i="78"/>
  <c r="V14" i="78"/>
  <c r="T14" i="78"/>
  <c r="R14" i="78"/>
  <c r="P14" i="78"/>
  <c r="P16" i="78" s="1"/>
  <c r="J14" i="78"/>
  <c r="H14" i="78"/>
  <c r="N14" i="78" s="1"/>
  <c r="D14" i="78"/>
  <c r="L14" i="78" s="1"/>
  <c r="Z12" i="78"/>
  <c r="X12" i="78"/>
  <c r="T12" i="78"/>
  <c r="V70" i="78" s="1"/>
  <c r="P12" i="78"/>
  <c r="R59" i="78" s="1"/>
  <c r="N12" i="78"/>
  <c r="L12" i="78"/>
  <c r="H12" i="78"/>
  <c r="J66" i="78" s="1"/>
  <c r="D12" i="78"/>
  <c r="F42" i="78" s="1"/>
  <c r="D6" i="78"/>
  <c r="D4" i="78"/>
  <c r="V33" i="77"/>
  <c r="V30" i="77"/>
  <c r="Z28" i="77"/>
  <c r="X28" i="77"/>
  <c r="V28" i="77"/>
  <c r="R28" i="77"/>
  <c r="N28" i="77"/>
  <c r="L28" i="77"/>
  <c r="V26" i="77"/>
  <c r="T26" i="77"/>
  <c r="V24" i="77"/>
  <c r="T24" i="77"/>
  <c r="P24" i="77"/>
  <c r="N24" i="77"/>
  <c r="L24" i="77"/>
  <c r="H24" i="77"/>
  <c r="D24" i="77"/>
  <c r="Z22" i="77"/>
  <c r="X22" i="77"/>
  <c r="V22" i="77"/>
  <c r="R22" i="77"/>
  <c r="N22" i="77"/>
  <c r="L22" i="77"/>
  <c r="B22" i="77"/>
  <c r="X21" i="77"/>
  <c r="V21" i="77"/>
  <c r="T21" i="77"/>
  <c r="Z21" i="77" s="1"/>
  <c r="P21" i="77"/>
  <c r="N21" i="77"/>
  <c r="H21" i="77"/>
  <c r="D21" i="77"/>
  <c r="B21" i="77"/>
  <c r="Z20" i="77"/>
  <c r="X20" i="77"/>
  <c r="N20" i="77"/>
  <c r="L20" i="77"/>
  <c r="B20" i="77"/>
  <c r="T19" i="77"/>
  <c r="Z19" i="77" s="1"/>
  <c r="R19" i="77"/>
  <c r="P19" i="77"/>
  <c r="X19" i="77" s="1"/>
  <c r="N19" i="77"/>
  <c r="L19" i="77"/>
  <c r="H19" i="77"/>
  <c r="D19" i="77"/>
  <c r="B19" i="77"/>
  <c r="V18" i="77"/>
  <c r="T18" i="77"/>
  <c r="P18" i="77"/>
  <c r="N18" i="77"/>
  <c r="L18" i="77"/>
  <c r="H18" i="77"/>
  <c r="D18" i="77"/>
  <c r="V16" i="77"/>
  <c r="T16" i="77"/>
  <c r="Z16" i="77" s="1"/>
  <c r="T14" i="77"/>
  <c r="P14" i="77"/>
  <c r="N14" i="77"/>
  <c r="L14" i="77"/>
  <c r="H14" i="77"/>
  <c r="D14" i="77"/>
  <c r="T12" i="77"/>
  <c r="P12" i="77"/>
  <c r="H12" i="77"/>
  <c r="D12" i="77"/>
  <c r="D6" i="77"/>
  <c r="D4" i="77"/>
  <c r="X93" i="76"/>
  <c r="Z93" i="76" s="1"/>
  <c r="N93" i="76"/>
  <c r="L93" i="76"/>
  <c r="Z89" i="76"/>
  <c r="P89" i="76"/>
  <c r="X89" i="76" s="1"/>
  <c r="N89" i="76"/>
  <c r="D89" i="76"/>
  <c r="B89" i="76"/>
  <c r="X88" i="76"/>
  <c r="T88" i="76"/>
  <c r="Z88" i="76" s="1"/>
  <c r="P88" i="76"/>
  <c r="N88" i="76"/>
  <c r="H88" i="76"/>
  <c r="X86" i="76"/>
  <c r="Z86" i="76" s="1"/>
  <c r="L86" i="76"/>
  <c r="N86" i="76" s="1"/>
  <c r="B86" i="76"/>
  <c r="T85" i="76"/>
  <c r="P85" i="76"/>
  <c r="X85" i="76" s="1"/>
  <c r="Z85" i="76" s="1"/>
  <c r="J85" i="76"/>
  <c r="H85" i="76"/>
  <c r="D85" i="76"/>
  <c r="B85" i="76"/>
  <c r="Z84" i="76"/>
  <c r="X84" i="76"/>
  <c r="N84" i="76"/>
  <c r="L84" i="76"/>
  <c r="B84" i="76"/>
  <c r="T83" i="76"/>
  <c r="P83" i="76"/>
  <c r="N83" i="76"/>
  <c r="L83" i="76"/>
  <c r="H83" i="76"/>
  <c r="D83" i="76"/>
  <c r="B83" i="76"/>
  <c r="X82" i="76"/>
  <c r="Z82" i="76" s="1"/>
  <c r="L82" i="76"/>
  <c r="N82" i="76" s="1"/>
  <c r="J82" i="76"/>
  <c r="B82" i="76"/>
  <c r="X81" i="76"/>
  <c r="Z81" i="76" s="1"/>
  <c r="T81" i="76"/>
  <c r="P81" i="76"/>
  <c r="H81" i="76"/>
  <c r="D81" i="76"/>
  <c r="B81" i="76"/>
  <c r="Z80" i="76"/>
  <c r="X80" i="76"/>
  <c r="N80" i="76"/>
  <c r="L80" i="76"/>
  <c r="B80" i="76"/>
  <c r="Z79" i="76"/>
  <c r="X79" i="76"/>
  <c r="N79" i="76"/>
  <c r="L79" i="76"/>
  <c r="J79" i="76"/>
  <c r="B79" i="76"/>
  <c r="X78" i="76"/>
  <c r="Z78" i="76" s="1"/>
  <c r="L78" i="76"/>
  <c r="N78" i="76" s="1"/>
  <c r="B78" i="76"/>
  <c r="Z77" i="76"/>
  <c r="X77" i="76"/>
  <c r="L77" i="76"/>
  <c r="N77" i="76" s="1"/>
  <c r="B77" i="76"/>
  <c r="Z76" i="76"/>
  <c r="X76" i="76"/>
  <c r="N76" i="76"/>
  <c r="L76" i="76"/>
  <c r="B76" i="76"/>
  <c r="X75" i="76"/>
  <c r="Z75" i="76" s="1"/>
  <c r="N75" i="76"/>
  <c r="L75" i="76"/>
  <c r="J75" i="76"/>
  <c r="B75" i="76"/>
  <c r="X74" i="76"/>
  <c r="Z74" i="76" s="1"/>
  <c r="L74" i="76"/>
  <c r="N74" i="76" s="1"/>
  <c r="B74" i="76"/>
  <c r="Z73" i="76"/>
  <c r="X73" i="76"/>
  <c r="N73" i="76"/>
  <c r="L73" i="76"/>
  <c r="B73" i="76"/>
  <c r="T72" i="76"/>
  <c r="Z72" i="76" s="1"/>
  <c r="P72" i="76"/>
  <c r="X72" i="76" s="1"/>
  <c r="L72" i="76"/>
  <c r="N72" i="76" s="1"/>
  <c r="H72" i="76"/>
  <c r="D72" i="76"/>
  <c r="B72" i="76"/>
  <c r="X71" i="76"/>
  <c r="Z71" i="76" s="1"/>
  <c r="N71" i="76"/>
  <c r="L71" i="76"/>
  <c r="B71" i="76"/>
  <c r="X70" i="76"/>
  <c r="Z70" i="76" s="1"/>
  <c r="T70" i="76"/>
  <c r="P70" i="76"/>
  <c r="N70" i="76"/>
  <c r="H70" i="76"/>
  <c r="D70" i="76"/>
  <c r="L70" i="76" s="1"/>
  <c r="B70" i="76"/>
  <c r="X69" i="76"/>
  <c r="Z69" i="76" s="1"/>
  <c r="L69" i="76"/>
  <c r="N69" i="76" s="1"/>
  <c r="B69" i="76"/>
  <c r="Z68" i="76"/>
  <c r="X68" i="76"/>
  <c r="N68" i="76"/>
  <c r="L68" i="76"/>
  <c r="B68" i="76"/>
  <c r="Z67" i="76"/>
  <c r="X67" i="76"/>
  <c r="N67" i="76"/>
  <c r="L67" i="76"/>
  <c r="B67" i="76"/>
  <c r="X66" i="76"/>
  <c r="Z66" i="76" s="1"/>
  <c r="L66" i="76"/>
  <c r="N66" i="76" s="1"/>
  <c r="J66" i="76"/>
  <c r="B66" i="76"/>
  <c r="X65" i="76"/>
  <c r="Z65" i="76" s="1"/>
  <c r="T65" i="76"/>
  <c r="P65" i="76"/>
  <c r="H65" i="76"/>
  <c r="D65" i="76"/>
  <c r="B65" i="76"/>
  <c r="Z64" i="76"/>
  <c r="X64" i="76"/>
  <c r="N64" i="76"/>
  <c r="L64" i="76"/>
  <c r="B64" i="76"/>
  <c r="X63" i="76"/>
  <c r="Z63" i="76" s="1"/>
  <c r="N63" i="76"/>
  <c r="L63" i="76"/>
  <c r="B63" i="76"/>
  <c r="X62" i="76"/>
  <c r="Z62" i="76" s="1"/>
  <c r="T62" i="76"/>
  <c r="P62" i="76"/>
  <c r="H62" i="76"/>
  <c r="L62" i="76" s="1"/>
  <c r="D62" i="76"/>
  <c r="B62" i="76"/>
  <c r="Z61" i="76"/>
  <c r="X61" i="76"/>
  <c r="L61" i="76"/>
  <c r="N61" i="76" s="1"/>
  <c r="B61" i="76"/>
  <c r="T60" i="76"/>
  <c r="X60" i="76" s="1"/>
  <c r="P60" i="76"/>
  <c r="H60" i="76"/>
  <c r="D60" i="76"/>
  <c r="L60" i="76" s="1"/>
  <c r="B60" i="76"/>
  <c r="X59" i="76"/>
  <c r="Z59" i="76" s="1"/>
  <c r="L59" i="76"/>
  <c r="N59" i="76" s="1"/>
  <c r="B59" i="76"/>
  <c r="X58" i="76"/>
  <c r="T58" i="76"/>
  <c r="P58" i="76"/>
  <c r="H58" i="76"/>
  <c r="D58" i="76"/>
  <c r="L58" i="76" s="1"/>
  <c r="N58" i="76" s="1"/>
  <c r="B58" i="76"/>
  <c r="Z57" i="76"/>
  <c r="X57" i="76"/>
  <c r="N57" i="76"/>
  <c r="L57" i="76"/>
  <c r="B57" i="76"/>
  <c r="T56" i="76"/>
  <c r="Z56" i="76" s="1"/>
  <c r="P56" i="76"/>
  <c r="X56" i="76" s="1"/>
  <c r="L56" i="76"/>
  <c r="N56" i="76" s="1"/>
  <c r="H56" i="76"/>
  <c r="D56" i="76"/>
  <c r="B56" i="76"/>
  <c r="X55" i="76"/>
  <c r="Z55" i="76" s="1"/>
  <c r="N55" i="76"/>
  <c r="L55" i="76"/>
  <c r="B55" i="76"/>
  <c r="Z54" i="76"/>
  <c r="X54" i="76"/>
  <c r="N54" i="76"/>
  <c r="L54" i="76"/>
  <c r="B54" i="76"/>
  <c r="X53" i="76"/>
  <c r="Z53" i="76" s="1"/>
  <c r="T53" i="76"/>
  <c r="P53" i="76"/>
  <c r="L53" i="76"/>
  <c r="H53" i="76"/>
  <c r="D53" i="76"/>
  <c r="B53" i="76"/>
  <c r="Z52" i="76"/>
  <c r="X52" i="76"/>
  <c r="N52" i="76"/>
  <c r="L52" i="76"/>
  <c r="B52" i="76"/>
  <c r="X51" i="76"/>
  <c r="T51" i="76"/>
  <c r="P51" i="76"/>
  <c r="H51" i="76"/>
  <c r="N51" i="76" s="1"/>
  <c r="D51" i="76"/>
  <c r="L51" i="76" s="1"/>
  <c r="B51" i="76"/>
  <c r="Z50" i="76"/>
  <c r="X50" i="76"/>
  <c r="N50" i="76"/>
  <c r="L50" i="76"/>
  <c r="J50" i="76"/>
  <c r="B50" i="76"/>
  <c r="Z49" i="76"/>
  <c r="T49" i="76"/>
  <c r="P49" i="76"/>
  <c r="X49" i="76" s="1"/>
  <c r="H49" i="76"/>
  <c r="N49" i="76" s="1"/>
  <c r="D49" i="76"/>
  <c r="B49" i="76"/>
  <c r="Z48" i="76"/>
  <c r="X48" i="76"/>
  <c r="N48" i="76"/>
  <c r="L48" i="76"/>
  <c r="B48" i="76"/>
  <c r="T47" i="76"/>
  <c r="Z47" i="76" s="1"/>
  <c r="P47" i="76"/>
  <c r="X47" i="76" s="1"/>
  <c r="N47" i="76"/>
  <c r="L47" i="76"/>
  <c r="H47" i="76"/>
  <c r="D47" i="76"/>
  <c r="B47" i="76"/>
  <c r="Z46" i="76"/>
  <c r="X46" i="76"/>
  <c r="N46" i="76"/>
  <c r="L46" i="76"/>
  <c r="B46" i="76"/>
  <c r="Z45" i="76"/>
  <c r="X45" i="76"/>
  <c r="N45" i="76"/>
  <c r="L45" i="76"/>
  <c r="B45" i="76"/>
  <c r="Z44" i="76"/>
  <c r="X44" i="76"/>
  <c r="L44" i="76"/>
  <c r="N44" i="76" s="1"/>
  <c r="B44" i="76"/>
  <c r="X43" i="76"/>
  <c r="Z43" i="76" s="1"/>
  <c r="N43" i="76"/>
  <c r="L43" i="76"/>
  <c r="J43" i="76"/>
  <c r="B43" i="76"/>
  <c r="Z42" i="76"/>
  <c r="X42" i="76"/>
  <c r="N42" i="76"/>
  <c r="L42" i="76"/>
  <c r="J42" i="76"/>
  <c r="B42" i="76"/>
  <c r="Z41" i="76"/>
  <c r="X41" i="76"/>
  <c r="L41" i="76"/>
  <c r="N41" i="76" s="1"/>
  <c r="B41" i="76"/>
  <c r="Z40" i="76"/>
  <c r="X40" i="76"/>
  <c r="N40" i="76"/>
  <c r="L40" i="76"/>
  <c r="B40" i="76"/>
  <c r="Z39" i="76"/>
  <c r="X39" i="76"/>
  <c r="N39" i="76"/>
  <c r="L39" i="76"/>
  <c r="B39" i="76"/>
  <c r="X38" i="76"/>
  <c r="Z38" i="76" s="1"/>
  <c r="N38" i="76"/>
  <c r="L38" i="76"/>
  <c r="B38" i="76"/>
  <c r="Z37" i="76"/>
  <c r="X37" i="76"/>
  <c r="N37" i="76"/>
  <c r="L37" i="76"/>
  <c r="B37" i="76"/>
  <c r="Z36" i="76"/>
  <c r="X36" i="76"/>
  <c r="T36" i="76"/>
  <c r="P36" i="76"/>
  <c r="L36" i="76"/>
  <c r="N36" i="76" s="1"/>
  <c r="J36" i="76"/>
  <c r="H36" i="76"/>
  <c r="D36" i="76"/>
  <c r="B36" i="76"/>
  <c r="Z35" i="76"/>
  <c r="X35" i="76"/>
  <c r="N35" i="76"/>
  <c r="L35" i="76"/>
  <c r="B35" i="76"/>
  <c r="X34" i="76"/>
  <c r="Z34" i="76" s="1"/>
  <c r="N34" i="76"/>
  <c r="L34" i="76"/>
  <c r="B34" i="76"/>
  <c r="X33" i="76"/>
  <c r="Z33" i="76" s="1"/>
  <c r="N33" i="76"/>
  <c r="L33" i="76"/>
  <c r="B33" i="76"/>
  <c r="Z32" i="76"/>
  <c r="X32" i="76"/>
  <c r="N32" i="76"/>
  <c r="L32" i="76"/>
  <c r="B32" i="76"/>
  <c r="X31" i="76"/>
  <c r="Z31" i="76" s="1"/>
  <c r="L31" i="76"/>
  <c r="N31" i="76" s="1"/>
  <c r="J31" i="76"/>
  <c r="B31" i="76"/>
  <c r="Z30" i="76"/>
  <c r="X30" i="76"/>
  <c r="L30" i="76"/>
  <c r="N30" i="76" s="1"/>
  <c r="J30" i="76"/>
  <c r="B30" i="76"/>
  <c r="Z29" i="76"/>
  <c r="X29" i="76"/>
  <c r="N29" i="76"/>
  <c r="L29" i="76"/>
  <c r="B29" i="76"/>
  <c r="X28" i="76"/>
  <c r="Z28" i="76" s="1"/>
  <c r="N28" i="76"/>
  <c r="L28" i="76"/>
  <c r="B28" i="76"/>
  <c r="X27" i="76"/>
  <c r="Z27" i="76" s="1"/>
  <c r="L27" i="76"/>
  <c r="N27" i="76" s="1"/>
  <c r="B27" i="76"/>
  <c r="X26" i="76"/>
  <c r="Z26" i="76" s="1"/>
  <c r="T26" i="76"/>
  <c r="P26" i="76"/>
  <c r="H26" i="76"/>
  <c r="D26" i="76"/>
  <c r="L26" i="76" s="1"/>
  <c r="B26" i="76"/>
  <c r="T25" i="76"/>
  <c r="Z25" i="76" s="1"/>
  <c r="P25" i="76"/>
  <c r="X25" i="76" s="1"/>
  <c r="H25" i="76"/>
  <c r="D25" i="76"/>
  <c r="L25" i="76" s="1"/>
  <c r="N25" i="76" s="1"/>
  <c r="Z21" i="76"/>
  <c r="X21" i="76"/>
  <c r="N21" i="76"/>
  <c r="L21" i="76"/>
  <c r="B21" i="76"/>
  <c r="Z20" i="76"/>
  <c r="X20" i="76"/>
  <c r="N20" i="76"/>
  <c r="L20" i="76"/>
  <c r="J20" i="76"/>
  <c r="B20" i="76"/>
  <c r="X19" i="76"/>
  <c r="Z19" i="76" s="1"/>
  <c r="V19" i="76"/>
  <c r="L19" i="76"/>
  <c r="N19" i="76" s="1"/>
  <c r="B19" i="76"/>
  <c r="X18" i="76"/>
  <c r="Z18" i="76" s="1"/>
  <c r="T18" i="76"/>
  <c r="P18" i="76"/>
  <c r="H18" i="76"/>
  <c r="D18" i="76"/>
  <c r="Z16" i="76"/>
  <c r="P16" i="76"/>
  <c r="X16" i="76" s="1"/>
  <c r="N16" i="76"/>
  <c r="D16" i="76"/>
  <c r="L16" i="76" s="1"/>
  <c r="B16" i="76"/>
  <c r="X15" i="76"/>
  <c r="Z15" i="76" s="1"/>
  <c r="P15" i="76"/>
  <c r="D15" i="76"/>
  <c r="L15" i="76" s="1"/>
  <c r="N15" i="76" s="1"/>
  <c r="B15" i="76"/>
  <c r="Z14" i="76"/>
  <c r="P14" i="76"/>
  <c r="X14" i="76" s="1"/>
  <c r="N14" i="76"/>
  <c r="D14" i="76"/>
  <c r="L14" i="76" s="1"/>
  <c r="B14" i="76"/>
  <c r="X13" i="76"/>
  <c r="Z13" i="76" s="1"/>
  <c r="P13" i="76"/>
  <c r="D13" i="76"/>
  <c r="L13" i="76" s="1"/>
  <c r="N13" i="76" s="1"/>
  <c r="B13" i="76"/>
  <c r="T12" i="76"/>
  <c r="V70" i="76" s="1"/>
  <c r="H12" i="76"/>
  <c r="J78" i="76" s="1"/>
  <c r="D6" i="76"/>
  <c r="D4" i="76"/>
  <c r="Z32" i="75"/>
  <c r="X32" i="75"/>
  <c r="L32" i="75"/>
  <c r="N32" i="75" s="1"/>
  <c r="T28" i="75"/>
  <c r="P28" i="75"/>
  <c r="N28" i="75"/>
  <c r="H28" i="75"/>
  <c r="D28" i="75"/>
  <c r="L28" i="75" s="1"/>
  <c r="Z26" i="75"/>
  <c r="X26" i="75"/>
  <c r="L26" i="75"/>
  <c r="N26" i="75" s="1"/>
  <c r="B26" i="75"/>
  <c r="T25" i="75"/>
  <c r="P25" i="75"/>
  <c r="X25" i="75" s="1"/>
  <c r="Z25" i="75" s="1"/>
  <c r="N25" i="75"/>
  <c r="L25" i="75"/>
  <c r="H25" i="75"/>
  <c r="D25" i="75"/>
  <c r="B25" i="75"/>
  <c r="X24" i="75"/>
  <c r="Z24" i="75" s="1"/>
  <c r="V24" i="75"/>
  <c r="T24" i="75"/>
  <c r="P24" i="75"/>
  <c r="H24" i="75"/>
  <c r="D24" i="75"/>
  <c r="L24" i="75" s="1"/>
  <c r="Z20" i="75"/>
  <c r="X20" i="75"/>
  <c r="V20" i="75"/>
  <c r="N20" i="75"/>
  <c r="L20" i="75"/>
  <c r="B20" i="75"/>
  <c r="Z19" i="75"/>
  <c r="X19" i="75"/>
  <c r="N19" i="75"/>
  <c r="L19" i="75"/>
  <c r="B19" i="75"/>
  <c r="Z18" i="75"/>
  <c r="X18" i="75"/>
  <c r="V18" i="75"/>
  <c r="L18" i="75"/>
  <c r="N18" i="75" s="1"/>
  <c r="B18" i="75"/>
  <c r="T17" i="75"/>
  <c r="P17" i="75"/>
  <c r="X17" i="75" s="1"/>
  <c r="Z17" i="75" s="1"/>
  <c r="L17" i="75"/>
  <c r="N17" i="75" s="1"/>
  <c r="H17" i="75"/>
  <c r="D17" i="75"/>
  <c r="Z15" i="75"/>
  <c r="P15" i="75"/>
  <c r="X15" i="75" s="1"/>
  <c r="N15" i="75"/>
  <c r="D15" i="75"/>
  <c r="L15" i="75" s="1"/>
  <c r="B15" i="75"/>
  <c r="Z14" i="75"/>
  <c r="P14" i="75"/>
  <c r="X14" i="75" s="1"/>
  <c r="N14" i="75"/>
  <c r="L14" i="75"/>
  <c r="D14" i="75"/>
  <c r="B14" i="75"/>
  <c r="P13" i="75"/>
  <c r="X13" i="75" s="1"/>
  <c r="Z13" i="75" s="1"/>
  <c r="D13" i="75"/>
  <c r="B13" i="75"/>
  <c r="T12" i="75"/>
  <c r="V19" i="75" s="1"/>
  <c r="H12" i="75"/>
  <c r="D6" i="75"/>
  <c r="D4" i="75"/>
  <c r="X92" i="74"/>
  <c r="Z92" i="74" s="1"/>
  <c r="N92" i="74"/>
  <c r="L92" i="74"/>
  <c r="Z88" i="74"/>
  <c r="T88" i="74"/>
  <c r="P88" i="74"/>
  <c r="X88" i="74" s="1"/>
  <c r="N88" i="74"/>
  <c r="L88" i="74"/>
  <c r="J88" i="74"/>
  <c r="H88" i="74"/>
  <c r="D88" i="74"/>
  <c r="Z86" i="74"/>
  <c r="X86" i="74"/>
  <c r="N86" i="74"/>
  <c r="L86" i="74"/>
  <c r="B86" i="74"/>
  <c r="T85" i="74"/>
  <c r="P85" i="74"/>
  <c r="H85" i="74"/>
  <c r="N85" i="74" s="1"/>
  <c r="F85" i="74"/>
  <c r="D85" i="74"/>
  <c r="L85" i="74" s="1"/>
  <c r="B85" i="74"/>
  <c r="Z84" i="74"/>
  <c r="X84" i="74"/>
  <c r="L84" i="74"/>
  <c r="N84" i="74" s="1"/>
  <c r="J84" i="74"/>
  <c r="B84" i="74"/>
  <c r="Z83" i="74"/>
  <c r="X83" i="74"/>
  <c r="N83" i="74"/>
  <c r="L83" i="74"/>
  <c r="B83" i="74"/>
  <c r="T82" i="74"/>
  <c r="P82" i="74"/>
  <c r="H82" i="74"/>
  <c r="D82" i="74"/>
  <c r="L82" i="74" s="1"/>
  <c r="N82" i="74" s="1"/>
  <c r="B82" i="74"/>
  <c r="X81" i="74"/>
  <c r="Z81" i="74" s="1"/>
  <c r="L81" i="74"/>
  <c r="N81" i="74" s="1"/>
  <c r="J81" i="74"/>
  <c r="F81" i="74"/>
  <c r="B81" i="74"/>
  <c r="T80" i="74"/>
  <c r="P80" i="74"/>
  <c r="X80" i="74" s="1"/>
  <c r="Z80" i="74" s="1"/>
  <c r="N80" i="74"/>
  <c r="H80" i="74"/>
  <c r="L80" i="74" s="1"/>
  <c r="D80" i="74"/>
  <c r="B80" i="74"/>
  <c r="Z79" i="74"/>
  <c r="X79" i="74"/>
  <c r="N79" i="74"/>
  <c r="L79" i="74"/>
  <c r="B79" i="74"/>
  <c r="Z78" i="74"/>
  <c r="X78" i="74"/>
  <c r="N78" i="74"/>
  <c r="L78" i="74"/>
  <c r="F78" i="74"/>
  <c r="B78" i="74"/>
  <c r="X77" i="74"/>
  <c r="Z77" i="74" s="1"/>
  <c r="L77" i="74"/>
  <c r="N77" i="74" s="1"/>
  <c r="J77" i="74"/>
  <c r="F77" i="74"/>
  <c r="B77" i="74"/>
  <c r="T76" i="74"/>
  <c r="P76" i="74"/>
  <c r="X76" i="74" s="1"/>
  <c r="Z76" i="74" s="1"/>
  <c r="N76" i="74"/>
  <c r="L76" i="74"/>
  <c r="H76" i="74"/>
  <c r="D76" i="74"/>
  <c r="B76" i="74"/>
  <c r="Z75" i="74"/>
  <c r="X75" i="74"/>
  <c r="L75" i="74"/>
  <c r="N75" i="74" s="1"/>
  <c r="B75" i="74"/>
  <c r="Z74" i="74"/>
  <c r="X74" i="74"/>
  <c r="N74" i="74"/>
  <c r="L74" i="74"/>
  <c r="F74" i="74"/>
  <c r="B74" i="74"/>
  <c r="T73" i="74"/>
  <c r="P73" i="74"/>
  <c r="X73" i="74" s="1"/>
  <c r="L73" i="74"/>
  <c r="N73" i="74" s="1"/>
  <c r="H73" i="74"/>
  <c r="D73" i="74"/>
  <c r="B73" i="74"/>
  <c r="Z72" i="74"/>
  <c r="X72" i="74"/>
  <c r="V72" i="74"/>
  <c r="N72" i="74"/>
  <c r="L72" i="74"/>
  <c r="B72" i="74"/>
  <c r="X71" i="74"/>
  <c r="Z71" i="74" s="1"/>
  <c r="L71" i="74"/>
  <c r="N71" i="74" s="1"/>
  <c r="B71" i="74"/>
  <c r="T70" i="74"/>
  <c r="P70" i="74"/>
  <c r="X70" i="74" s="1"/>
  <c r="Z70" i="74" s="1"/>
  <c r="L70" i="74"/>
  <c r="N70" i="74" s="1"/>
  <c r="J70" i="74"/>
  <c r="H70" i="74"/>
  <c r="D70" i="74"/>
  <c r="B70" i="74"/>
  <c r="Z69" i="74"/>
  <c r="X69" i="74"/>
  <c r="V69" i="74"/>
  <c r="N69" i="74"/>
  <c r="L69" i="74"/>
  <c r="B69" i="74"/>
  <c r="X68" i="74"/>
  <c r="Z68" i="74" s="1"/>
  <c r="V68" i="74"/>
  <c r="L68" i="74"/>
  <c r="N68" i="74" s="1"/>
  <c r="B68" i="74"/>
  <c r="Z67" i="74"/>
  <c r="X67" i="74"/>
  <c r="T67" i="74"/>
  <c r="P67" i="74"/>
  <c r="H67" i="74"/>
  <c r="D67" i="74"/>
  <c r="B67" i="74"/>
  <c r="X66" i="74"/>
  <c r="Z66" i="74" s="1"/>
  <c r="N66" i="74"/>
  <c r="L66" i="74"/>
  <c r="B66" i="74"/>
  <c r="V65" i="74"/>
  <c r="T65" i="74"/>
  <c r="P65" i="74"/>
  <c r="H65" i="74"/>
  <c r="N65" i="74" s="1"/>
  <c r="D65" i="74"/>
  <c r="L65" i="74" s="1"/>
  <c r="B65" i="74"/>
  <c r="X64" i="74"/>
  <c r="Z64" i="74" s="1"/>
  <c r="N64" i="74"/>
  <c r="L64" i="74"/>
  <c r="J64" i="74"/>
  <c r="B64" i="74"/>
  <c r="T63" i="74"/>
  <c r="P63" i="74"/>
  <c r="X63" i="74" s="1"/>
  <c r="H63" i="74"/>
  <c r="N63" i="74" s="1"/>
  <c r="D63" i="74"/>
  <c r="L63" i="74" s="1"/>
  <c r="B63" i="74"/>
  <c r="Z62" i="74"/>
  <c r="X62" i="74"/>
  <c r="L62" i="74"/>
  <c r="N62" i="74" s="1"/>
  <c r="F62" i="74"/>
  <c r="B62" i="74"/>
  <c r="T61" i="74"/>
  <c r="P61" i="74"/>
  <c r="X61" i="74" s="1"/>
  <c r="L61" i="74"/>
  <c r="N61" i="74" s="1"/>
  <c r="H61" i="74"/>
  <c r="D61" i="74"/>
  <c r="B61" i="74"/>
  <c r="X60" i="74"/>
  <c r="Z60" i="74" s="1"/>
  <c r="V60" i="74"/>
  <c r="N60" i="74"/>
  <c r="L60" i="74"/>
  <c r="B60" i="74"/>
  <c r="Z59" i="74"/>
  <c r="X59" i="74"/>
  <c r="T59" i="74"/>
  <c r="P59" i="74"/>
  <c r="H59" i="74"/>
  <c r="D59" i="74"/>
  <c r="B59" i="74"/>
  <c r="Z58" i="74"/>
  <c r="X58" i="74"/>
  <c r="N58" i="74"/>
  <c r="L58" i="74"/>
  <c r="B58" i="74"/>
  <c r="X57" i="74"/>
  <c r="Z57" i="74" s="1"/>
  <c r="V57" i="74"/>
  <c r="L57" i="74"/>
  <c r="N57" i="74" s="1"/>
  <c r="B57" i="74"/>
  <c r="X56" i="74"/>
  <c r="Z56" i="74" s="1"/>
  <c r="V56" i="74"/>
  <c r="T56" i="74"/>
  <c r="P56" i="74"/>
  <c r="H56" i="74"/>
  <c r="F56" i="74"/>
  <c r="D56" i="74"/>
  <c r="B56" i="74"/>
  <c r="X55" i="74"/>
  <c r="Z55" i="74" s="1"/>
  <c r="L55" i="74"/>
  <c r="N55" i="74" s="1"/>
  <c r="B55" i="74"/>
  <c r="T54" i="74"/>
  <c r="P54" i="74"/>
  <c r="H54" i="74"/>
  <c r="N54" i="74" s="1"/>
  <c r="D54" i="74"/>
  <c r="L54" i="74" s="1"/>
  <c r="B54" i="74"/>
  <c r="X53" i="74"/>
  <c r="Z53" i="74" s="1"/>
  <c r="L53" i="74"/>
  <c r="N53" i="74" s="1"/>
  <c r="J53" i="74"/>
  <c r="F53" i="74"/>
  <c r="B53" i="74"/>
  <c r="T52" i="74"/>
  <c r="Z52" i="74" s="1"/>
  <c r="P52" i="74"/>
  <c r="X52" i="74" s="1"/>
  <c r="N52" i="74"/>
  <c r="H52" i="74"/>
  <c r="D52" i="74"/>
  <c r="L52" i="74" s="1"/>
  <c r="B52" i="74"/>
  <c r="Z51" i="74"/>
  <c r="X51" i="74"/>
  <c r="L51" i="74"/>
  <c r="N51" i="74" s="1"/>
  <c r="B51" i="74"/>
  <c r="Z50" i="74"/>
  <c r="T50" i="74"/>
  <c r="P50" i="74"/>
  <c r="X50" i="74" s="1"/>
  <c r="L50" i="74"/>
  <c r="N50" i="74" s="1"/>
  <c r="J50" i="74"/>
  <c r="H50" i="74"/>
  <c r="D50" i="74"/>
  <c r="B50" i="74"/>
  <c r="X49" i="74"/>
  <c r="Z49" i="74" s="1"/>
  <c r="V49" i="74"/>
  <c r="N49" i="74"/>
  <c r="L49" i="74"/>
  <c r="B49" i="74"/>
  <c r="X48" i="74"/>
  <c r="Z48" i="74" s="1"/>
  <c r="V48" i="74"/>
  <c r="T48" i="74"/>
  <c r="P48" i="74"/>
  <c r="H48" i="74"/>
  <c r="F48" i="74"/>
  <c r="D48" i="74"/>
  <c r="B48" i="74"/>
  <c r="Z47" i="74"/>
  <c r="X47" i="74"/>
  <c r="N47" i="74"/>
  <c r="L47" i="74"/>
  <c r="B47" i="74"/>
  <c r="Z46" i="74"/>
  <c r="X46" i="74"/>
  <c r="N46" i="74"/>
  <c r="L46" i="74"/>
  <c r="B46" i="74"/>
  <c r="X45" i="74"/>
  <c r="Z45" i="74" s="1"/>
  <c r="V45" i="74"/>
  <c r="L45" i="74"/>
  <c r="N45" i="74" s="1"/>
  <c r="B45" i="74"/>
  <c r="X44" i="74"/>
  <c r="Z44" i="74" s="1"/>
  <c r="V44" i="74"/>
  <c r="N44" i="74"/>
  <c r="L44" i="74"/>
  <c r="B44" i="74"/>
  <c r="Z43" i="74"/>
  <c r="X43" i="74"/>
  <c r="N43" i="74"/>
  <c r="L43" i="74"/>
  <c r="B43" i="74"/>
  <c r="Z42" i="74"/>
  <c r="X42" i="74"/>
  <c r="N42" i="74"/>
  <c r="L42" i="74"/>
  <c r="F42" i="74"/>
  <c r="B42" i="74"/>
  <c r="X41" i="74"/>
  <c r="Z41" i="74" s="1"/>
  <c r="L41" i="74"/>
  <c r="N41" i="74" s="1"/>
  <c r="J41" i="74"/>
  <c r="F41" i="74"/>
  <c r="B41" i="74"/>
  <c r="Z40" i="74"/>
  <c r="X40" i="74"/>
  <c r="N40" i="74"/>
  <c r="L40" i="74"/>
  <c r="J40" i="74"/>
  <c r="B40" i="74"/>
  <c r="X39" i="74"/>
  <c r="Z39" i="74" s="1"/>
  <c r="L39" i="74"/>
  <c r="N39" i="74" s="1"/>
  <c r="B39" i="74"/>
  <c r="Z38" i="74"/>
  <c r="X38" i="74"/>
  <c r="N38" i="74"/>
  <c r="L38" i="74"/>
  <c r="B38" i="74"/>
  <c r="T37" i="74"/>
  <c r="P37" i="74"/>
  <c r="H37" i="74"/>
  <c r="N37" i="74" s="1"/>
  <c r="F37" i="74"/>
  <c r="D37" i="74"/>
  <c r="L37" i="74" s="1"/>
  <c r="B37" i="74"/>
  <c r="Z36" i="74"/>
  <c r="X36" i="74"/>
  <c r="N36" i="74"/>
  <c r="L36" i="74"/>
  <c r="J36" i="74"/>
  <c r="B36" i="74"/>
  <c r="X35" i="74"/>
  <c r="Z35" i="74" s="1"/>
  <c r="N35" i="74"/>
  <c r="L35" i="74"/>
  <c r="B35" i="74"/>
  <c r="X34" i="74"/>
  <c r="Z34" i="74" s="1"/>
  <c r="N34" i="74"/>
  <c r="L34" i="74"/>
  <c r="B34" i="74"/>
  <c r="Z33" i="74"/>
  <c r="X33" i="74"/>
  <c r="V33" i="74"/>
  <c r="N33" i="74"/>
  <c r="L33" i="74"/>
  <c r="B33" i="74"/>
  <c r="X32" i="74"/>
  <c r="Z32" i="74" s="1"/>
  <c r="V32" i="74"/>
  <c r="N32" i="74"/>
  <c r="L32" i="74"/>
  <c r="B32" i="74"/>
  <c r="X31" i="74"/>
  <c r="Z31" i="74" s="1"/>
  <c r="L31" i="74"/>
  <c r="N31" i="74" s="1"/>
  <c r="B31" i="74"/>
  <c r="Z30" i="74"/>
  <c r="X30" i="74"/>
  <c r="N30" i="74"/>
  <c r="L30" i="74"/>
  <c r="J30" i="74"/>
  <c r="F30" i="74"/>
  <c r="B30" i="74"/>
  <c r="X29" i="74"/>
  <c r="Z29" i="74" s="1"/>
  <c r="L29" i="74"/>
  <c r="N29" i="74" s="1"/>
  <c r="J29" i="74"/>
  <c r="F29" i="74"/>
  <c r="B29" i="74"/>
  <c r="Z28" i="74"/>
  <c r="X28" i="74"/>
  <c r="L28" i="74"/>
  <c r="N28" i="74" s="1"/>
  <c r="J28" i="74"/>
  <c r="B28" i="74"/>
  <c r="T27" i="74"/>
  <c r="P27" i="74"/>
  <c r="X27" i="74" s="1"/>
  <c r="H27" i="74"/>
  <c r="D27" i="74"/>
  <c r="L27" i="74" s="1"/>
  <c r="B27" i="74"/>
  <c r="Z26" i="74"/>
  <c r="T26" i="74"/>
  <c r="P26" i="74"/>
  <c r="X26" i="74" s="1"/>
  <c r="L26" i="74"/>
  <c r="N26" i="74" s="1"/>
  <c r="J26" i="74"/>
  <c r="H26" i="74"/>
  <c r="D26" i="74"/>
  <c r="D24" i="74"/>
  <c r="Z22" i="74"/>
  <c r="X22" i="74"/>
  <c r="N22" i="74"/>
  <c r="L22" i="74"/>
  <c r="J22" i="74"/>
  <c r="F22" i="74"/>
  <c r="B22" i="74"/>
  <c r="Z21" i="74"/>
  <c r="X21" i="74"/>
  <c r="N21" i="74"/>
  <c r="L21" i="74"/>
  <c r="J21" i="74"/>
  <c r="F21" i="74"/>
  <c r="B21" i="74"/>
  <c r="Z20" i="74"/>
  <c r="X20" i="74"/>
  <c r="N20" i="74"/>
  <c r="L20" i="74"/>
  <c r="J20" i="74"/>
  <c r="B20" i="74"/>
  <c r="Z19" i="74"/>
  <c r="X19" i="74"/>
  <c r="L19" i="74"/>
  <c r="N19" i="74" s="1"/>
  <c r="J19" i="74"/>
  <c r="B19" i="74"/>
  <c r="T18" i="74"/>
  <c r="P18" i="74"/>
  <c r="H18" i="74"/>
  <c r="D18" i="74"/>
  <c r="L18" i="74" s="1"/>
  <c r="Z16" i="74"/>
  <c r="X16" i="74"/>
  <c r="P16" i="74"/>
  <c r="N16" i="74"/>
  <c r="D16" i="74"/>
  <c r="L16" i="74" s="1"/>
  <c r="B16" i="74"/>
  <c r="Z15" i="74"/>
  <c r="X15" i="74"/>
  <c r="P15" i="74"/>
  <c r="N15" i="74"/>
  <c r="L15" i="74"/>
  <c r="D15" i="74"/>
  <c r="B15" i="74"/>
  <c r="Z14" i="74"/>
  <c r="P14" i="74"/>
  <c r="X14" i="74" s="1"/>
  <c r="N14" i="74"/>
  <c r="D14" i="74"/>
  <c r="L14" i="74" s="1"/>
  <c r="B14" i="74"/>
  <c r="P13" i="74"/>
  <c r="N13" i="74"/>
  <c r="L13" i="74"/>
  <c r="D13" i="74"/>
  <c r="B13" i="74"/>
  <c r="T12" i="74"/>
  <c r="V79" i="74" s="1"/>
  <c r="H12" i="74"/>
  <c r="J83" i="74" s="1"/>
  <c r="D12" i="74"/>
  <c r="F84" i="74" s="1"/>
  <c r="D6" i="74"/>
  <c r="D4" i="74"/>
  <c r="X88" i="73"/>
  <c r="Z88" i="73" s="1"/>
  <c r="L88" i="73"/>
  <c r="N88" i="73" s="1"/>
  <c r="T84" i="73"/>
  <c r="Z84" i="73" s="1"/>
  <c r="P84" i="73"/>
  <c r="X84" i="73" s="1"/>
  <c r="N84" i="73"/>
  <c r="H84" i="73"/>
  <c r="L84" i="73" s="1"/>
  <c r="D84" i="73"/>
  <c r="Z82" i="73"/>
  <c r="X82" i="73"/>
  <c r="V82" i="73"/>
  <c r="N82" i="73"/>
  <c r="L82" i="73"/>
  <c r="B82" i="73"/>
  <c r="Z81" i="73"/>
  <c r="X81" i="73"/>
  <c r="T81" i="73"/>
  <c r="P81" i="73"/>
  <c r="J81" i="73"/>
  <c r="H81" i="73"/>
  <c r="D81" i="73"/>
  <c r="B81" i="73"/>
  <c r="X80" i="73"/>
  <c r="Z80" i="73" s="1"/>
  <c r="N80" i="73"/>
  <c r="L80" i="73"/>
  <c r="B80" i="73"/>
  <c r="X79" i="73"/>
  <c r="Z79" i="73" s="1"/>
  <c r="N79" i="73"/>
  <c r="L79" i="73"/>
  <c r="B79" i="73"/>
  <c r="X78" i="73"/>
  <c r="Z78" i="73" s="1"/>
  <c r="V78" i="73"/>
  <c r="T78" i="73"/>
  <c r="P78" i="73"/>
  <c r="H78" i="73"/>
  <c r="D78" i="73"/>
  <c r="B78" i="73"/>
  <c r="Z77" i="73"/>
  <c r="X77" i="73"/>
  <c r="L77" i="73"/>
  <c r="N77" i="73" s="1"/>
  <c r="B77" i="73"/>
  <c r="X76" i="73"/>
  <c r="Z76" i="73" s="1"/>
  <c r="V76" i="73"/>
  <c r="R76" i="73"/>
  <c r="N76" i="73"/>
  <c r="L76" i="73"/>
  <c r="B76" i="73"/>
  <c r="Z75" i="73"/>
  <c r="X75" i="73"/>
  <c r="R75" i="73"/>
  <c r="N75" i="73"/>
  <c r="L75" i="73"/>
  <c r="B75" i="73"/>
  <c r="X74" i="73"/>
  <c r="Z74" i="73" s="1"/>
  <c r="N74" i="73"/>
  <c r="L74" i="73"/>
  <c r="B74" i="73"/>
  <c r="Z73" i="73"/>
  <c r="X73" i="73"/>
  <c r="N73" i="73"/>
  <c r="L73" i="73"/>
  <c r="B73" i="73"/>
  <c r="Z72" i="73"/>
  <c r="T72" i="73"/>
  <c r="P72" i="73"/>
  <c r="X72" i="73" s="1"/>
  <c r="H72" i="73"/>
  <c r="D72" i="73"/>
  <c r="L72" i="73" s="1"/>
  <c r="N72" i="73" s="1"/>
  <c r="B72" i="73"/>
  <c r="X71" i="73"/>
  <c r="Z71" i="73" s="1"/>
  <c r="N71" i="73"/>
  <c r="L71" i="73"/>
  <c r="J71" i="73"/>
  <c r="B71" i="73"/>
  <c r="Z70" i="73"/>
  <c r="X70" i="73"/>
  <c r="N70" i="73"/>
  <c r="L70" i="73"/>
  <c r="B70" i="73"/>
  <c r="Z69" i="73"/>
  <c r="X69" i="73"/>
  <c r="N69" i="73"/>
  <c r="L69" i="73"/>
  <c r="B69" i="73"/>
  <c r="X68" i="73"/>
  <c r="Z68" i="73" s="1"/>
  <c r="T68" i="73"/>
  <c r="P68" i="73"/>
  <c r="H68" i="73"/>
  <c r="D68" i="73"/>
  <c r="L68" i="73" s="1"/>
  <c r="N68" i="73" s="1"/>
  <c r="B68" i="73"/>
  <c r="X67" i="73"/>
  <c r="Z67" i="73" s="1"/>
  <c r="N67" i="73"/>
  <c r="L67" i="73"/>
  <c r="J67" i="73"/>
  <c r="B67" i="73"/>
  <c r="X66" i="73"/>
  <c r="Z66" i="73" s="1"/>
  <c r="N66" i="73"/>
  <c r="L66" i="73"/>
  <c r="B66" i="73"/>
  <c r="X65" i="73"/>
  <c r="Z65" i="73" s="1"/>
  <c r="N65" i="73"/>
  <c r="L65" i="73"/>
  <c r="J65" i="73"/>
  <c r="B65" i="73"/>
  <c r="T64" i="73"/>
  <c r="P64" i="73"/>
  <c r="L64" i="73"/>
  <c r="N64" i="73" s="1"/>
  <c r="H64" i="73"/>
  <c r="D64" i="73"/>
  <c r="B64" i="73"/>
  <c r="X63" i="73"/>
  <c r="Z63" i="73" s="1"/>
  <c r="V63" i="73"/>
  <c r="N63" i="73"/>
  <c r="L63" i="73"/>
  <c r="B63" i="73"/>
  <c r="Z62" i="73"/>
  <c r="X62" i="73"/>
  <c r="T62" i="73"/>
  <c r="P62" i="73"/>
  <c r="H62" i="73"/>
  <c r="D62" i="73"/>
  <c r="L62" i="73" s="1"/>
  <c r="B62" i="73"/>
  <c r="X61" i="73"/>
  <c r="Z61" i="73" s="1"/>
  <c r="R61" i="73"/>
  <c r="N61" i="73"/>
  <c r="L61" i="73"/>
  <c r="B61" i="73"/>
  <c r="T60" i="73"/>
  <c r="P60" i="73"/>
  <c r="X60" i="73" s="1"/>
  <c r="H60" i="73"/>
  <c r="D60" i="73"/>
  <c r="L60" i="73" s="1"/>
  <c r="N60" i="73" s="1"/>
  <c r="B60" i="73"/>
  <c r="Z59" i="73"/>
  <c r="X59" i="73"/>
  <c r="L59" i="73"/>
  <c r="N59" i="73" s="1"/>
  <c r="J59" i="73"/>
  <c r="B59" i="73"/>
  <c r="T58" i="73"/>
  <c r="R58" i="73"/>
  <c r="P58" i="73"/>
  <c r="X58" i="73" s="1"/>
  <c r="Z58" i="73" s="1"/>
  <c r="L58" i="73"/>
  <c r="H58" i="73"/>
  <c r="N58" i="73" s="1"/>
  <c r="D58" i="73"/>
  <c r="B58" i="73"/>
  <c r="Z57" i="73"/>
  <c r="X57" i="73"/>
  <c r="L57" i="73"/>
  <c r="N57" i="73" s="1"/>
  <c r="B57" i="73"/>
  <c r="X56" i="73"/>
  <c r="T56" i="73"/>
  <c r="Z56" i="73" s="1"/>
  <c r="P56" i="73"/>
  <c r="L56" i="73"/>
  <c r="N56" i="73" s="1"/>
  <c r="H56" i="73"/>
  <c r="D56" i="73"/>
  <c r="B56" i="73"/>
  <c r="X55" i="73"/>
  <c r="Z55" i="73" s="1"/>
  <c r="V55" i="73"/>
  <c r="N55" i="73"/>
  <c r="L55" i="73"/>
  <c r="B55" i="73"/>
  <c r="Z54" i="73"/>
  <c r="X54" i="73"/>
  <c r="T54" i="73"/>
  <c r="P54" i="73"/>
  <c r="H54" i="73"/>
  <c r="D54" i="73"/>
  <c r="L54" i="73" s="1"/>
  <c r="B54" i="73"/>
  <c r="X53" i="73"/>
  <c r="Z53" i="73" s="1"/>
  <c r="R53" i="73"/>
  <c r="N53" i="73"/>
  <c r="L53" i="73"/>
  <c r="B53" i="73"/>
  <c r="Z52" i="73"/>
  <c r="X52" i="73"/>
  <c r="V52" i="73"/>
  <c r="R52" i="73"/>
  <c r="N52" i="73"/>
  <c r="L52" i="73"/>
  <c r="B52" i="73"/>
  <c r="X51" i="73"/>
  <c r="V51" i="73"/>
  <c r="T51" i="73"/>
  <c r="Z51" i="73" s="1"/>
  <c r="P51" i="73"/>
  <c r="H51" i="73"/>
  <c r="D51" i="73"/>
  <c r="B51" i="73"/>
  <c r="X50" i="73"/>
  <c r="Z50" i="73" s="1"/>
  <c r="L50" i="73"/>
  <c r="N50" i="73" s="1"/>
  <c r="B50" i="73"/>
  <c r="T49" i="73"/>
  <c r="R49" i="73"/>
  <c r="P49" i="73"/>
  <c r="H49" i="73"/>
  <c r="D49" i="73"/>
  <c r="L49" i="73" s="1"/>
  <c r="N49" i="73" s="1"/>
  <c r="B49" i="73"/>
  <c r="Z48" i="73"/>
  <c r="X48" i="73"/>
  <c r="N48" i="73"/>
  <c r="L48" i="73"/>
  <c r="J48" i="73"/>
  <c r="B48" i="73"/>
  <c r="Z47" i="73"/>
  <c r="T47" i="73"/>
  <c r="P47" i="73"/>
  <c r="X47" i="73" s="1"/>
  <c r="N47" i="73"/>
  <c r="H47" i="73"/>
  <c r="D47" i="73"/>
  <c r="L47" i="73" s="1"/>
  <c r="B47" i="73"/>
  <c r="Z46" i="73"/>
  <c r="X46" i="73"/>
  <c r="N46" i="73"/>
  <c r="L46" i="73"/>
  <c r="B46" i="73"/>
  <c r="Z45" i="73"/>
  <c r="T45" i="73"/>
  <c r="P45" i="73"/>
  <c r="X45" i="73" s="1"/>
  <c r="L45" i="73"/>
  <c r="J45" i="73"/>
  <c r="H45" i="73"/>
  <c r="N45" i="73" s="1"/>
  <c r="D45" i="73"/>
  <c r="B45" i="73"/>
  <c r="Z44" i="73"/>
  <c r="X44" i="73"/>
  <c r="V44" i="73"/>
  <c r="R44" i="73"/>
  <c r="N44" i="73"/>
  <c r="L44" i="73"/>
  <c r="B44" i="73"/>
  <c r="Z43" i="73"/>
  <c r="X43" i="73"/>
  <c r="V43" i="73"/>
  <c r="N43" i="73"/>
  <c r="L43" i="73"/>
  <c r="B43" i="73"/>
  <c r="X42" i="73"/>
  <c r="Z42" i="73" s="1"/>
  <c r="L42" i="73"/>
  <c r="N42" i="73" s="1"/>
  <c r="B42" i="73"/>
  <c r="Z41" i="73"/>
  <c r="X41" i="73"/>
  <c r="V41" i="73"/>
  <c r="N41" i="73"/>
  <c r="L41" i="73"/>
  <c r="B41" i="73"/>
  <c r="Z40" i="73"/>
  <c r="X40" i="73"/>
  <c r="N40" i="73"/>
  <c r="L40" i="73"/>
  <c r="J40" i="73"/>
  <c r="B40" i="73"/>
  <c r="Z39" i="73"/>
  <c r="X39" i="73"/>
  <c r="N39" i="73"/>
  <c r="L39" i="73"/>
  <c r="J39" i="73"/>
  <c r="B39" i="73"/>
  <c r="X38" i="73"/>
  <c r="Z38" i="73" s="1"/>
  <c r="V38" i="73"/>
  <c r="N38" i="73"/>
  <c r="L38" i="73"/>
  <c r="B38" i="73"/>
  <c r="Z37" i="73"/>
  <c r="X37" i="73"/>
  <c r="R37" i="73"/>
  <c r="N37" i="73"/>
  <c r="L37" i="73"/>
  <c r="B37" i="73"/>
  <c r="Z36" i="73"/>
  <c r="X36" i="73"/>
  <c r="V36" i="73"/>
  <c r="R36" i="73"/>
  <c r="L36" i="73"/>
  <c r="N36" i="73" s="1"/>
  <c r="B36" i="73"/>
  <c r="Z35" i="73"/>
  <c r="X35" i="73"/>
  <c r="V35" i="73"/>
  <c r="N35" i="73"/>
  <c r="L35" i="73"/>
  <c r="B35" i="73"/>
  <c r="X34" i="73"/>
  <c r="Z34" i="73" s="1"/>
  <c r="T34" i="73"/>
  <c r="P34" i="73"/>
  <c r="J34" i="73"/>
  <c r="H34" i="73"/>
  <c r="D34" i="73"/>
  <c r="L34" i="73" s="1"/>
  <c r="B34" i="73"/>
  <c r="Z33" i="73"/>
  <c r="X33" i="73"/>
  <c r="R33" i="73"/>
  <c r="N33" i="73"/>
  <c r="L33" i="73"/>
  <c r="B33" i="73"/>
  <c r="Z32" i="73"/>
  <c r="X32" i="73"/>
  <c r="V32" i="73"/>
  <c r="R32" i="73"/>
  <c r="L32" i="73"/>
  <c r="N32" i="73" s="1"/>
  <c r="B32" i="73"/>
  <c r="X31" i="73"/>
  <c r="Z31" i="73" s="1"/>
  <c r="V31" i="73"/>
  <c r="N31" i="73"/>
  <c r="L31" i="73"/>
  <c r="B31" i="73"/>
  <c r="Z30" i="73"/>
  <c r="X30" i="73"/>
  <c r="N30" i="73"/>
  <c r="L30" i="73"/>
  <c r="B30" i="73"/>
  <c r="Z29" i="73"/>
  <c r="X29" i="73"/>
  <c r="V29" i="73"/>
  <c r="L29" i="73"/>
  <c r="N29" i="73" s="1"/>
  <c r="B29" i="73"/>
  <c r="X28" i="73"/>
  <c r="Z28" i="73" s="1"/>
  <c r="N28" i="73"/>
  <c r="L28" i="73"/>
  <c r="J28" i="73"/>
  <c r="B28" i="73"/>
  <c r="Z27" i="73"/>
  <c r="X27" i="73"/>
  <c r="V27" i="73"/>
  <c r="L27" i="73"/>
  <c r="N27" i="73" s="1"/>
  <c r="J27" i="73"/>
  <c r="B27" i="73"/>
  <c r="X26" i="73"/>
  <c r="Z26" i="73" s="1"/>
  <c r="V26" i="73"/>
  <c r="N26" i="73"/>
  <c r="L26" i="73"/>
  <c r="B26" i="73"/>
  <c r="X25" i="73"/>
  <c r="Z25" i="73" s="1"/>
  <c r="R25" i="73"/>
  <c r="N25" i="73"/>
  <c r="L25" i="73"/>
  <c r="B25" i="73"/>
  <c r="V24" i="73"/>
  <c r="T24" i="73"/>
  <c r="P24" i="73"/>
  <c r="H24" i="73"/>
  <c r="D24" i="73"/>
  <c r="L24" i="73" s="1"/>
  <c r="N24" i="73" s="1"/>
  <c r="B24" i="73"/>
  <c r="T23" i="73"/>
  <c r="Z23" i="73" s="1"/>
  <c r="P23" i="73"/>
  <c r="X23" i="73" s="1"/>
  <c r="N23" i="73"/>
  <c r="H23" i="73"/>
  <c r="D23" i="73"/>
  <c r="L23" i="73" s="1"/>
  <c r="H21" i="73"/>
  <c r="Z19" i="73"/>
  <c r="X19" i="73"/>
  <c r="V19" i="73"/>
  <c r="R19" i="73"/>
  <c r="N19" i="73"/>
  <c r="L19" i="73"/>
  <c r="J19" i="73"/>
  <c r="B19" i="73"/>
  <c r="Z18" i="73"/>
  <c r="X18" i="73"/>
  <c r="V18" i="73"/>
  <c r="N18" i="73"/>
  <c r="L18" i="73"/>
  <c r="B18" i="73"/>
  <c r="X17" i="73"/>
  <c r="Z17" i="73" s="1"/>
  <c r="R17" i="73"/>
  <c r="N17" i="73"/>
  <c r="L17" i="73"/>
  <c r="B17" i="73"/>
  <c r="T16" i="73"/>
  <c r="P16" i="73"/>
  <c r="X16" i="73" s="1"/>
  <c r="H16" i="73"/>
  <c r="D16" i="73"/>
  <c r="L16" i="73" s="1"/>
  <c r="N16" i="73" s="1"/>
  <c r="X14" i="73"/>
  <c r="Z14" i="73" s="1"/>
  <c r="P14" i="73"/>
  <c r="L14" i="73"/>
  <c r="N14" i="73" s="1"/>
  <c r="D14" i="73"/>
  <c r="B14" i="73"/>
  <c r="P13" i="73"/>
  <c r="X13" i="73" s="1"/>
  <c r="Z13" i="73" s="1"/>
  <c r="D13" i="73"/>
  <c r="L13" i="73" s="1"/>
  <c r="N13" i="73" s="1"/>
  <c r="B13" i="73"/>
  <c r="Z12" i="73"/>
  <c r="X12" i="73"/>
  <c r="T12" i="73"/>
  <c r="V79" i="73" s="1"/>
  <c r="P12" i="73"/>
  <c r="R79" i="73" s="1"/>
  <c r="H12" i="73"/>
  <c r="J57" i="73" s="1"/>
  <c r="D6" i="73"/>
  <c r="D4" i="73"/>
  <c r="X27" i="72"/>
  <c r="Z27" i="72" s="1"/>
  <c r="V27" i="72"/>
  <c r="N27" i="72"/>
  <c r="L27" i="72"/>
  <c r="J27" i="72"/>
  <c r="T23" i="72"/>
  <c r="Z23" i="72" s="1"/>
  <c r="P23" i="72"/>
  <c r="N23" i="72"/>
  <c r="J23" i="72"/>
  <c r="H23" i="72"/>
  <c r="D23" i="72"/>
  <c r="L23" i="72" s="1"/>
  <c r="X21" i="72"/>
  <c r="V21" i="72"/>
  <c r="T21" i="72"/>
  <c r="Z21" i="72" s="1"/>
  <c r="P21" i="72"/>
  <c r="N21" i="72"/>
  <c r="L21" i="72"/>
  <c r="H21" i="72"/>
  <c r="D21" i="72"/>
  <c r="V19" i="72"/>
  <c r="T19" i="72"/>
  <c r="X17" i="72"/>
  <c r="Z17" i="72" s="1"/>
  <c r="V17" i="72"/>
  <c r="N17" i="72"/>
  <c r="L17" i="72"/>
  <c r="J17" i="72"/>
  <c r="B17" i="72"/>
  <c r="T16" i="72"/>
  <c r="Z16" i="72" s="1"/>
  <c r="P16" i="72"/>
  <c r="X16" i="72" s="1"/>
  <c r="H16" i="72"/>
  <c r="D16" i="72"/>
  <c r="L16" i="72" s="1"/>
  <c r="N16" i="72" s="1"/>
  <c r="Z14" i="72"/>
  <c r="X14" i="72"/>
  <c r="P14" i="72"/>
  <c r="N14" i="72"/>
  <c r="L14" i="72"/>
  <c r="D14" i="72"/>
  <c r="B14" i="72"/>
  <c r="P13" i="72"/>
  <c r="X13" i="72" s="1"/>
  <c r="Z13" i="72" s="1"/>
  <c r="D13" i="72"/>
  <c r="L13" i="72" s="1"/>
  <c r="N13" i="72" s="1"/>
  <c r="B13" i="72"/>
  <c r="T12" i="72"/>
  <c r="H12" i="72"/>
  <c r="D6" i="72"/>
  <c r="D4" i="72"/>
  <c r="X74" i="71"/>
  <c r="Z74" i="71" s="1"/>
  <c r="V74" i="71"/>
  <c r="N74" i="71"/>
  <c r="L74" i="71"/>
  <c r="T70" i="71"/>
  <c r="Z70" i="71" s="1"/>
  <c r="P70" i="71"/>
  <c r="X70" i="71" s="1"/>
  <c r="N70" i="71"/>
  <c r="H70" i="71"/>
  <c r="D70" i="71"/>
  <c r="L70" i="71" s="1"/>
  <c r="X68" i="71"/>
  <c r="Z68" i="71" s="1"/>
  <c r="V68" i="71"/>
  <c r="N68" i="71"/>
  <c r="L68" i="71"/>
  <c r="B68" i="71"/>
  <c r="Z67" i="71"/>
  <c r="X67" i="71"/>
  <c r="T67" i="71"/>
  <c r="P67" i="71"/>
  <c r="H67" i="71"/>
  <c r="N67" i="71" s="1"/>
  <c r="D67" i="71"/>
  <c r="L67" i="71" s="1"/>
  <c r="B67" i="71"/>
  <c r="X66" i="71"/>
  <c r="Z66" i="71" s="1"/>
  <c r="R66" i="71"/>
  <c r="N66" i="71"/>
  <c r="L66" i="71"/>
  <c r="B66" i="71"/>
  <c r="T65" i="71"/>
  <c r="P65" i="71"/>
  <c r="X65" i="71" s="1"/>
  <c r="H65" i="71"/>
  <c r="D65" i="71"/>
  <c r="L65" i="71" s="1"/>
  <c r="N65" i="71" s="1"/>
  <c r="B65" i="71"/>
  <c r="Z64" i="71"/>
  <c r="X64" i="71"/>
  <c r="L64" i="71"/>
  <c r="N64" i="71" s="1"/>
  <c r="J64" i="71"/>
  <c r="B64" i="71"/>
  <c r="Z63" i="71"/>
  <c r="X63" i="71"/>
  <c r="N63" i="71"/>
  <c r="L63" i="71"/>
  <c r="B63" i="71"/>
  <c r="Z62" i="71"/>
  <c r="X62" i="71"/>
  <c r="R62" i="71"/>
  <c r="N62" i="71"/>
  <c r="L62" i="71"/>
  <c r="B62" i="71"/>
  <c r="Z61" i="71"/>
  <c r="X61" i="71"/>
  <c r="V61" i="71"/>
  <c r="R61" i="71"/>
  <c r="N61" i="71"/>
  <c r="L61" i="71"/>
  <c r="B61" i="71"/>
  <c r="X60" i="71"/>
  <c r="V60" i="71"/>
  <c r="T60" i="71"/>
  <c r="Z60" i="71" s="1"/>
  <c r="P60" i="71"/>
  <c r="H60" i="71"/>
  <c r="D60" i="71"/>
  <c r="B60" i="71"/>
  <c r="Z59" i="71"/>
  <c r="X59" i="71"/>
  <c r="N59" i="71"/>
  <c r="L59" i="71"/>
  <c r="B59" i="71"/>
  <c r="X58" i="71"/>
  <c r="Z58" i="71" s="1"/>
  <c r="R58" i="71"/>
  <c r="N58" i="71"/>
  <c r="L58" i="71"/>
  <c r="B58" i="71"/>
  <c r="T57" i="71"/>
  <c r="P57" i="71"/>
  <c r="X57" i="71" s="1"/>
  <c r="H57" i="71"/>
  <c r="D57" i="71"/>
  <c r="L57" i="71" s="1"/>
  <c r="N57" i="71" s="1"/>
  <c r="B57" i="71"/>
  <c r="Z56" i="71"/>
  <c r="X56" i="71"/>
  <c r="L56" i="71"/>
  <c r="N56" i="71" s="1"/>
  <c r="J56" i="71"/>
  <c r="B56" i="71"/>
  <c r="T55" i="71"/>
  <c r="R55" i="71"/>
  <c r="P55" i="71"/>
  <c r="X55" i="71" s="1"/>
  <c r="Z55" i="71" s="1"/>
  <c r="L55" i="71"/>
  <c r="H55" i="71"/>
  <c r="N55" i="71" s="1"/>
  <c r="D55" i="71"/>
  <c r="B55" i="71"/>
  <c r="Z54" i="71"/>
  <c r="X54" i="71"/>
  <c r="L54" i="71"/>
  <c r="N54" i="71" s="1"/>
  <c r="B54" i="71"/>
  <c r="X53" i="71"/>
  <c r="Z53" i="71" s="1"/>
  <c r="N53" i="71"/>
  <c r="L53" i="71"/>
  <c r="J53" i="71"/>
  <c r="B53" i="71"/>
  <c r="T52" i="71"/>
  <c r="P52" i="71"/>
  <c r="X52" i="71" s="1"/>
  <c r="H52" i="71"/>
  <c r="D52" i="71"/>
  <c r="L52" i="71" s="1"/>
  <c r="N52" i="71" s="1"/>
  <c r="B52" i="71"/>
  <c r="Z51" i="71"/>
  <c r="X51" i="71"/>
  <c r="N51" i="71"/>
  <c r="L51" i="71"/>
  <c r="J51" i="71"/>
  <c r="B51" i="71"/>
  <c r="Z50" i="71"/>
  <c r="T50" i="71"/>
  <c r="P50" i="71"/>
  <c r="X50" i="71" s="1"/>
  <c r="L50" i="71"/>
  <c r="J50" i="71"/>
  <c r="H50" i="71"/>
  <c r="D50" i="71"/>
  <c r="B50" i="71"/>
  <c r="Z49" i="71"/>
  <c r="X49" i="71"/>
  <c r="V49" i="71"/>
  <c r="R49" i="71"/>
  <c r="L49" i="71"/>
  <c r="N49" i="71" s="1"/>
  <c r="B49" i="71"/>
  <c r="X48" i="71"/>
  <c r="V48" i="71"/>
  <c r="T48" i="71"/>
  <c r="Z48" i="71" s="1"/>
  <c r="P48" i="71"/>
  <c r="H48" i="71"/>
  <c r="D48" i="71"/>
  <c r="B48" i="71"/>
  <c r="X47" i="71"/>
  <c r="Z47" i="71" s="1"/>
  <c r="L47" i="71"/>
  <c r="N47" i="71" s="1"/>
  <c r="B47" i="71"/>
  <c r="T46" i="71"/>
  <c r="R46" i="71"/>
  <c r="P46" i="71"/>
  <c r="H46" i="71"/>
  <c r="D46" i="71"/>
  <c r="L46" i="71" s="1"/>
  <c r="B46" i="71"/>
  <c r="Z45" i="71"/>
  <c r="X45" i="71"/>
  <c r="N45" i="71"/>
  <c r="L45" i="71"/>
  <c r="J45" i="71"/>
  <c r="B45" i="71"/>
  <c r="T44" i="71"/>
  <c r="Z44" i="71" s="1"/>
  <c r="P44" i="71"/>
  <c r="X44" i="71" s="1"/>
  <c r="N44" i="71"/>
  <c r="H44" i="71"/>
  <c r="D44" i="71"/>
  <c r="L44" i="71" s="1"/>
  <c r="B44" i="71"/>
  <c r="Z43" i="71"/>
  <c r="X43" i="71"/>
  <c r="N43" i="71"/>
  <c r="L43" i="71"/>
  <c r="J43" i="71"/>
  <c r="B43" i="71"/>
  <c r="Z42" i="71"/>
  <c r="X42" i="71"/>
  <c r="N42" i="71"/>
  <c r="L42" i="71"/>
  <c r="B42" i="71"/>
  <c r="X41" i="71"/>
  <c r="Z41" i="71" s="1"/>
  <c r="N41" i="71"/>
  <c r="L41" i="71"/>
  <c r="J41" i="71"/>
  <c r="B41" i="71"/>
  <c r="Z40" i="71"/>
  <c r="X40" i="71"/>
  <c r="N40" i="71"/>
  <c r="L40" i="71"/>
  <c r="J40" i="71"/>
  <c r="B40" i="71"/>
  <c r="Z39" i="71"/>
  <c r="X39" i="71"/>
  <c r="N39" i="71"/>
  <c r="L39" i="71"/>
  <c r="B39" i="71"/>
  <c r="Z38" i="71"/>
  <c r="X38" i="71"/>
  <c r="R38" i="71"/>
  <c r="N38" i="71"/>
  <c r="L38" i="71"/>
  <c r="J38" i="71"/>
  <c r="B38" i="71"/>
  <c r="Z37" i="71"/>
  <c r="X37" i="71"/>
  <c r="V37" i="71"/>
  <c r="R37" i="71"/>
  <c r="L37" i="71"/>
  <c r="N37" i="71" s="1"/>
  <c r="B37" i="71"/>
  <c r="Z36" i="71"/>
  <c r="X36" i="71"/>
  <c r="V36" i="71"/>
  <c r="N36" i="71"/>
  <c r="L36" i="71"/>
  <c r="B36" i="71"/>
  <c r="Z35" i="71"/>
  <c r="X35" i="71"/>
  <c r="N35" i="71"/>
  <c r="L35" i="71"/>
  <c r="J35" i="71"/>
  <c r="B35" i="71"/>
  <c r="Z34" i="71"/>
  <c r="X34" i="71"/>
  <c r="N34" i="71"/>
  <c r="L34" i="71"/>
  <c r="B34" i="71"/>
  <c r="X33" i="71"/>
  <c r="T33" i="71"/>
  <c r="Z33" i="71" s="1"/>
  <c r="R33" i="71"/>
  <c r="P33" i="71"/>
  <c r="L33" i="71"/>
  <c r="N33" i="71" s="1"/>
  <c r="H33" i="71"/>
  <c r="D33" i="71"/>
  <c r="B33" i="71"/>
  <c r="Z32" i="71"/>
  <c r="X32" i="71"/>
  <c r="V32" i="71"/>
  <c r="N32" i="71"/>
  <c r="L32" i="71"/>
  <c r="J32" i="71"/>
  <c r="B32" i="71"/>
  <c r="Z31" i="71"/>
  <c r="X31" i="71"/>
  <c r="L31" i="71"/>
  <c r="N31" i="71" s="1"/>
  <c r="J31" i="71"/>
  <c r="B31" i="71"/>
  <c r="Z30" i="71"/>
  <c r="X30" i="71"/>
  <c r="N30" i="71"/>
  <c r="L30" i="71"/>
  <c r="B30" i="71"/>
  <c r="Z29" i="71"/>
  <c r="X29" i="71"/>
  <c r="N29" i="71"/>
  <c r="L29" i="71"/>
  <c r="J29" i="71"/>
  <c r="B29" i="71"/>
  <c r="Z28" i="71"/>
  <c r="X28" i="71"/>
  <c r="R28" i="71"/>
  <c r="N28" i="71"/>
  <c r="L28" i="71"/>
  <c r="J28" i="71"/>
  <c r="B28" i="71"/>
  <c r="X27" i="71"/>
  <c r="Z27" i="71" s="1"/>
  <c r="V27" i="71"/>
  <c r="L27" i="71"/>
  <c r="N27" i="71" s="1"/>
  <c r="B27" i="71"/>
  <c r="Z26" i="71"/>
  <c r="X26" i="71"/>
  <c r="R26" i="71"/>
  <c r="N26" i="71"/>
  <c r="L26" i="71"/>
  <c r="J26" i="71"/>
  <c r="B26" i="71"/>
  <c r="Z25" i="71"/>
  <c r="X25" i="71"/>
  <c r="V25" i="71"/>
  <c r="R25" i="71"/>
  <c r="L25" i="71"/>
  <c r="N25" i="71" s="1"/>
  <c r="J25" i="71"/>
  <c r="B25" i="71"/>
  <c r="X24" i="71"/>
  <c r="Z24" i="71" s="1"/>
  <c r="V24" i="71"/>
  <c r="N24" i="71"/>
  <c r="L24" i="71"/>
  <c r="J24" i="71"/>
  <c r="B24" i="71"/>
  <c r="Z23" i="71"/>
  <c r="X23" i="71"/>
  <c r="T23" i="71"/>
  <c r="P23" i="71"/>
  <c r="H23" i="71"/>
  <c r="D23" i="71"/>
  <c r="B23" i="71"/>
  <c r="T22" i="71"/>
  <c r="R22" i="71"/>
  <c r="P22" i="71"/>
  <c r="H22" i="71"/>
  <c r="D22" i="71"/>
  <c r="L22" i="71" s="1"/>
  <c r="P20" i="71"/>
  <c r="Z18" i="71"/>
  <c r="X18" i="71"/>
  <c r="R18" i="71"/>
  <c r="N18" i="71"/>
  <c r="L18" i="71"/>
  <c r="J18" i="71"/>
  <c r="B18" i="71"/>
  <c r="Z17" i="71"/>
  <c r="X17" i="71"/>
  <c r="V17" i="71"/>
  <c r="R17" i="71"/>
  <c r="L17" i="71"/>
  <c r="N17" i="71" s="1"/>
  <c r="J17" i="71"/>
  <c r="B17" i="71"/>
  <c r="X16" i="71"/>
  <c r="V16" i="71"/>
  <c r="T16" i="71"/>
  <c r="R16" i="71"/>
  <c r="P16" i="71"/>
  <c r="H16" i="71"/>
  <c r="D16" i="71"/>
  <c r="P14" i="71"/>
  <c r="X14" i="71" s="1"/>
  <c r="Z14" i="71" s="1"/>
  <c r="D14" i="71"/>
  <c r="L14" i="71" s="1"/>
  <c r="N14" i="71" s="1"/>
  <c r="B14" i="71"/>
  <c r="X13" i="71"/>
  <c r="Z13" i="71" s="1"/>
  <c r="P13" i="71"/>
  <c r="L13" i="71"/>
  <c r="N13" i="71" s="1"/>
  <c r="D13" i="71"/>
  <c r="B13" i="71"/>
  <c r="T12" i="71"/>
  <c r="V67" i="71" s="1"/>
  <c r="P12" i="71"/>
  <c r="R74" i="71" s="1"/>
  <c r="H12" i="71"/>
  <c r="J63" i="71" s="1"/>
  <c r="D6" i="71"/>
  <c r="D4" i="71"/>
  <c r="X81" i="69"/>
  <c r="Z81" i="69" s="1"/>
  <c r="N81" i="69"/>
  <c r="L81" i="69"/>
  <c r="Z77" i="69"/>
  <c r="P77" i="69"/>
  <c r="X77" i="69" s="1"/>
  <c r="D77" i="69"/>
  <c r="L77" i="69" s="1"/>
  <c r="N77" i="69" s="1"/>
  <c r="B77" i="69"/>
  <c r="Z76" i="69"/>
  <c r="P76" i="69"/>
  <c r="X76" i="69" s="1"/>
  <c r="N76" i="69"/>
  <c r="D76" i="69"/>
  <c r="L76" i="69" s="1"/>
  <c r="B76" i="69"/>
  <c r="Z75" i="69"/>
  <c r="X75" i="69"/>
  <c r="P75" i="69"/>
  <c r="P74" i="69" s="1"/>
  <c r="X74" i="69" s="1"/>
  <c r="N75" i="69"/>
  <c r="D75" i="69"/>
  <c r="B75" i="69"/>
  <c r="T74" i="69"/>
  <c r="Z74" i="69" s="1"/>
  <c r="H74" i="69"/>
  <c r="Z72" i="69"/>
  <c r="X72" i="69"/>
  <c r="L72" i="69"/>
  <c r="N72" i="69" s="1"/>
  <c r="B72" i="69"/>
  <c r="X71" i="69"/>
  <c r="T71" i="69"/>
  <c r="P71" i="69"/>
  <c r="L71" i="69"/>
  <c r="H71" i="69"/>
  <c r="D71" i="69"/>
  <c r="B71" i="69"/>
  <c r="Z70" i="69"/>
  <c r="X70" i="69"/>
  <c r="N70" i="69"/>
  <c r="L70" i="69"/>
  <c r="B70" i="69"/>
  <c r="X69" i="69"/>
  <c r="Z69" i="69" s="1"/>
  <c r="N69" i="69"/>
  <c r="L69" i="69"/>
  <c r="J69" i="69"/>
  <c r="B69" i="69"/>
  <c r="Z68" i="69"/>
  <c r="T68" i="69"/>
  <c r="P68" i="69"/>
  <c r="X68" i="69" s="1"/>
  <c r="H68" i="69"/>
  <c r="D68" i="69"/>
  <c r="L68" i="69" s="1"/>
  <c r="N68" i="69" s="1"/>
  <c r="B68" i="69"/>
  <c r="Z67" i="69"/>
  <c r="X67" i="69"/>
  <c r="L67" i="69"/>
  <c r="N67" i="69" s="1"/>
  <c r="J67" i="69"/>
  <c r="B67" i="69"/>
  <c r="T66" i="69"/>
  <c r="P66" i="69"/>
  <c r="X66" i="69" s="1"/>
  <c r="Z66" i="69" s="1"/>
  <c r="L66" i="69"/>
  <c r="H66" i="69"/>
  <c r="N66" i="69" s="1"/>
  <c r="D66" i="69"/>
  <c r="B66" i="69"/>
  <c r="Z65" i="69"/>
  <c r="X65" i="69"/>
  <c r="L65" i="69"/>
  <c r="N65" i="69" s="1"/>
  <c r="B65" i="69"/>
  <c r="X64" i="69"/>
  <c r="T64" i="69"/>
  <c r="P64" i="69"/>
  <c r="H64" i="69"/>
  <c r="D64" i="69"/>
  <c r="B64" i="69"/>
  <c r="X63" i="69"/>
  <c r="Z63" i="69" s="1"/>
  <c r="L63" i="69"/>
  <c r="N63" i="69" s="1"/>
  <c r="J63" i="69"/>
  <c r="B63" i="69"/>
  <c r="T62" i="69"/>
  <c r="P62" i="69"/>
  <c r="X62" i="69" s="1"/>
  <c r="Z62" i="69" s="1"/>
  <c r="N62" i="69"/>
  <c r="J62" i="69"/>
  <c r="H62" i="69"/>
  <c r="D62" i="69"/>
  <c r="L62" i="69" s="1"/>
  <c r="B62" i="69"/>
  <c r="X61" i="69"/>
  <c r="Z61" i="69" s="1"/>
  <c r="N61" i="69"/>
  <c r="L61" i="69"/>
  <c r="J61" i="69"/>
  <c r="B61" i="69"/>
  <c r="T60" i="69"/>
  <c r="P60" i="69"/>
  <c r="X60" i="69" s="1"/>
  <c r="N60" i="69"/>
  <c r="L60" i="69"/>
  <c r="J60" i="69"/>
  <c r="H60" i="69"/>
  <c r="D60" i="69"/>
  <c r="B60" i="69"/>
  <c r="Z59" i="69"/>
  <c r="X59" i="69"/>
  <c r="N59" i="69"/>
  <c r="L59" i="69"/>
  <c r="B59" i="69"/>
  <c r="Z58" i="69"/>
  <c r="X58" i="69"/>
  <c r="T58" i="69"/>
  <c r="P58" i="69"/>
  <c r="J58" i="69"/>
  <c r="H58" i="69"/>
  <c r="D58" i="69"/>
  <c r="B58" i="69"/>
  <c r="X57" i="69"/>
  <c r="Z57" i="69" s="1"/>
  <c r="N57" i="69"/>
  <c r="L57" i="69"/>
  <c r="B57" i="69"/>
  <c r="T56" i="69"/>
  <c r="P56" i="69"/>
  <c r="H56" i="69"/>
  <c r="D56" i="69"/>
  <c r="L56" i="69" s="1"/>
  <c r="N56" i="69" s="1"/>
  <c r="B56" i="69"/>
  <c r="Z55" i="69"/>
  <c r="X55" i="69"/>
  <c r="N55" i="69"/>
  <c r="L55" i="69"/>
  <c r="J55" i="69"/>
  <c r="B55" i="69"/>
  <c r="Z54" i="69"/>
  <c r="X54" i="69"/>
  <c r="N54" i="69"/>
  <c r="L54" i="69"/>
  <c r="J54" i="69"/>
  <c r="B54" i="69"/>
  <c r="Z53" i="69"/>
  <c r="X53" i="69"/>
  <c r="L53" i="69"/>
  <c r="N53" i="69" s="1"/>
  <c r="B53" i="69"/>
  <c r="Z52" i="69"/>
  <c r="X52" i="69"/>
  <c r="N52" i="69"/>
  <c r="L52" i="69"/>
  <c r="J52" i="69"/>
  <c r="B52" i="69"/>
  <c r="Z51" i="69"/>
  <c r="X51" i="69"/>
  <c r="N51" i="69"/>
  <c r="L51" i="69"/>
  <c r="J51" i="69"/>
  <c r="B51" i="69"/>
  <c r="Z50" i="69"/>
  <c r="X50" i="69"/>
  <c r="N50" i="69"/>
  <c r="L50" i="69"/>
  <c r="J50" i="69"/>
  <c r="B50" i="69"/>
  <c r="X49" i="69"/>
  <c r="Z49" i="69" s="1"/>
  <c r="L49" i="69"/>
  <c r="N49" i="69" s="1"/>
  <c r="B49" i="69"/>
  <c r="Z48" i="69"/>
  <c r="X48" i="69"/>
  <c r="N48" i="69"/>
  <c r="L48" i="69"/>
  <c r="B48" i="69"/>
  <c r="X47" i="69"/>
  <c r="Z47" i="69" s="1"/>
  <c r="N47" i="69"/>
  <c r="L47" i="69"/>
  <c r="J47" i="69"/>
  <c r="B47" i="69"/>
  <c r="Z46" i="69"/>
  <c r="X46" i="69"/>
  <c r="N46" i="69"/>
  <c r="L46" i="69"/>
  <c r="J46" i="69"/>
  <c r="B46" i="69"/>
  <c r="T45" i="69"/>
  <c r="P45" i="69"/>
  <c r="X45" i="69" s="1"/>
  <c r="Z45" i="69" s="1"/>
  <c r="N45" i="69"/>
  <c r="L45" i="69"/>
  <c r="H45" i="69"/>
  <c r="J45" i="69" s="1"/>
  <c r="D45" i="69"/>
  <c r="B45" i="69"/>
  <c r="X44" i="69"/>
  <c r="Z44" i="69" s="1"/>
  <c r="N44" i="69"/>
  <c r="L44" i="69"/>
  <c r="B44" i="69"/>
  <c r="Z43" i="69"/>
  <c r="X43" i="69"/>
  <c r="N43" i="69"/>
  <c r="L43" i="69"/>
  <c r="J43" i="69"/>
  <c r="B43" i="69"/>
  <c r="Z42" i="69"/>
  <c r="X42" i="69"/>
  <c r="L42" i="69"/>
  <c r="N42" i="69" s="1"/>
  <c r="J42" i="69"/>
  <c r="B42" i="69"/>
  <c r="Z41" i="69"/>
  <c r="X41" i="69"/>
  <c r="N41" i="69"/>
  <c r="L41" i="69"/>
  <c r="J41" i="69"/>
  <c r="B41" i="69"/>
  <c r="Z40" i="69"/>
  <c r="X40" i="69"/>
  <c r="N40" i="69"/>
  <c r="L40" i="69"/>
  <c r="J40" i="69"/>
  <c r="B40" i="69"/>
  <c r="Z39" i="69"/>
  <c r="X39" i="69"/>
  <c r="N39" i="69"/>
  <c r="L39" i="69"/>
  <c r="J39" i="69"/>
  <c r="B39" i="69"/>
  <c r="X38" i="69"/>
  <c r="Z38" i="69" s="1"/>
  <c r="N38" i="69"/>
  <c r="L38" i="69"/>
  <c r="J38" i="69"/>
  <c r="B38" i="69"/>
  <c r="X37" i="69"/>
  <c r="Z37" i="69" s="1"/>
  <c r="V37" i="69"/>
  <c r="L37" i="69"/>
  <c r="N37" i="69" s="1"/>
  <c r="B37" i="69"/>
  <c r="X36" i="69"/>
  <c r="Z36" i="69" s="1"/>
  <c r="N36" i="69"/>
  <c r="L36" i="69"/>
  <c r="B36" i="69"/>
  <c r="X35" i="69"/>
  <c r="Z35" i="69" s="1"/>
  <c r="N35" i="69"/>
  <c r="L35" i="69"/>
  <c r="J35" i="69"/>
  <c r="B35" i="69"/>
  <c r="Z34" i="69"/>
  <c r="X34" i="69"/>
  <c r="T34" i="69"/>
  <c r="P34" i="69"/>
  <c r="L34" i="69"/>
  <c r="N34" i="69" s="1"/>
  <c r="J34" i="69"/>
  <c r="H34" i="69"/>
  <c r="D34" i="69"/>
  <c r="B34" i="69"/>
  <c r="V33" i="69"/>
  <c r="T33" i="69"/>
  <c r="P33" i="69"/>
  <c r="H33" i="69"/>
  <c r="D33" i="69"/>
  <c r="L33" i="69" s="1"/>
  <c r="Z29" i="69"/>
  <c r="X29" i="69"/>
  <c r="N29" i="69"/>
  <c r="L29" i="69"/>
  <c r="B29" i="69"/>
  <c r="Z28" i="69"/>
  <c r="X28" i="69"/>
  <c r="N28" i="69"/>
  <c r="L28" i="69"/>
  <c r="B28" i="69"/>
  <c r="Z27" i="69"/>
  <c r="X27" i="69"/>
  <c r="N27" i="69"/>
  <c r="L27" i="69"/>
  <c r="J27" i="69"/>
  <c r="B27" i="69"/>
  <c r="Z26" i="69"/>
  <c r="X26" i="69"/>
  <c r="N26" i="69"/>
  <c r="L26" i="69"/>
  <c r="J26" i="69"/>
  <c r="B26" i="69"/>
  <c r="Z25" i="69"/>
  <c r="X25" i="69"/>
  <c r="N25" i="69"/>
  <c r="L25" i="69"/>
  <c r="J25" i="69"/>
  <c r="B25" i="69"/>
  <c r="Z24" i="69"/>
  <c r="X24" i="69"/>
  <c r="N24" i="69"/>
  <c r="L24" i="69"/>
  <c r="J24" i="69"/>
  <c r="B24" i="69"/>
  <c r="Z23" i="69"/>
  <c r="X23" i="69"/>
  <c r="N23" i="69"/>
  <c r="L23" i="69"/>
  <c r="J23" i="69"/>
  <c r="B23" i="69"/>
  <c r="Z22" i="69"/>
  <c r="X22" i="69"/>
  <c r="N22" i="69"/>
  <c r="L22" i="69"/>
  <c r="J22" i="69"/>
  <c r="B22" i="69"/>
  <c r="Z21" i="69"/>
  <c r="X21" i="69"/>
  <c r="N21" i="69"/>
  <c r="L21" i="69"/>
  <c r="B21" i="69"/>
  <c r="X20" i="69"/>
  <c r="Z20" i="69" s="1"/>
  <c r="N20" i="69"/>
  <c r="L20" i="69"/>
  <c r="B20" i="69"/>
  <c r="Z19" i="69"/>
  <c r="X19" i="69"/>
  <c r="T19" i="69"/>
  <c r="P19" i="69"/>
  <c r="J19" i="69"/>
  <c r="H19" i="69"/>
  <c r="D19" i="69"/>
  <c r="Z17" i="69"/>
  <c r="P17" i="69"/>
  <c r="X17" i="69" s="1"/>
  <c r="N17" i="69"/>
  <c r="L17" i="69"/>
  <c r="D17" i="69"/>
  <c r="B17" i="69"/>
  <c r="Z16" i="69"/>
  <c r="P16" i="69"/>
  <c r="X16" i="69" s="1"/>
  <c r="N16" i="69"/>
  <c r="D16" i="69"/>
  <c r="L16" i="69" s="1"/>
  <c r="B16" i="69"/>
  <c r="Z15" i="69"/>
  <c r="X15" i="69"/>
  <c r="P15" i="69"/>
  <c r="N15" i="69"/>
  <c r="D15" i="69"/>
  <c r="L15" i="69" s="1"/>
  <c r="B15" i="69"/>
  <c r="Z14" i="69"/>
  <c r="P14" i="69"/>
  <c r="X14" i="69" s="1"/>
  <c r="D14" i="69"/>
  <c r="L14" i="69" s="1"/>
  <c r="N14" i="69" s="1"/>
  <c r="B14" i="69"/>
  <c r="Z13" i="69"/>
  <c r="X13" i="69"/>
  <c r="P13" i="69"/>
  <c r="D13" i="69"/>
  <c r="L13" i="69" s="1"/>
  <c r="N13" i="69" s="1"/>
  <c r="B13" i="69"/>
  <c r="T12" i="69"/>
  <c r="V20" i="69" s="1"/>
  <c r="H12" i="69"/>
  <c r="J77" i="69" s="1"/>
  <c r="D6" i="69"/>
  <c r="D4" i="69"/>
  <c r="Z77" i="68"/>
  <c r="X77" i="68"/>
  <c r="L77" i="68"/>
  <c r="N77" i="68" s="1"/>
  <c r="J77" i="68"/>
  <c r="P73" i="68"/>
  <c r="N73" i="68"/>
  <c r="L73" i="68"/>
  <c r="D73" i="68"/>
  <c r="B73" i="68"/>
  <c r="T72" i="68"/>
  <c r="J72" i="68"/>
  <c r="H72" i="68"/>
  <c r="D72" i="68"/>
  <c r="X70" i="68"/>
  <c r="Z70" i="68" s="1"/>
  <c r="N70" i="68"/>
  <c r="L70" i="68"/>
  <c r="B70" i="68"/>
  <c r="T69" i="68"/>
  <c r="P69" i="68"/>
  <c r="H69" i="68"/>
  <c r="D69" i="68"/>
  <c r="L69" i="68" s="1"/>
  <c r="N69" i="68" s="1"/>
  <c r="B69" i="68"/>
  <c r="X68" i="68"/>
  <c r="Z68" i="68" s="1"/>
  <c r="L68" i="68"/>
  <c r="N68" i="68" s="1"/>
  <c r="J68" i="68"/>
  <c r="B68" i="68"/>
  <c r="Z67" i="68"/>
  <c r="X67" i="68"/>
  <c r="L67" i="68"/>
  <c r="N67" i="68" s="1"/>
  <c r="J67" i="68"/>
  <c r="B67" i="68"/>
  <c r="Z66" i="68"/>
  <c r="X66" i="68"/>
  <c r="L66" i="68"/>
  <c r="N66" i="68" s="1"/>
  <c r="B66" i="68"/>
  <c r="Z65" i="68"/>
  <c r="X65" i="68"/>
  <c r="N65" i="68"/>
  <c r="L65" i="68"/>
  <c r="J65" i="68"/>
  <c r="B65" i="68"/>
  <c r="V64" i="68"/>
  <c r="T64" i="68"/>
  <c r="P64" i="68"/>
  <c r="H64" i="68"/>
  <c r="D64" i="68"/>
  <c r="L64" i="68" s="1"/>
  <c r="B64" i="68"/>
  <c r="Z63" i="68"/>
  <c r="X63" i="68"/>
  <c r="L63" i="68"/>
  <c r="N63" i="68" s="1"/>
  <c r="J63" i="68"/>
  <c r="B63" i="68"/>
  <c r="T62" i="68"/>
  <c r="Z62" i="68" s="1"/>
  <c r="P62" i="68"/>
  <c r="X62" i="68" s="1"/>
  <c r="H62" i="68"/>
  <c r="D62" i="68"/>
  <c r="L62" i="68" s="1"/>
  <c r="N62" i="68" s="1"/>
  <c r="B62" i="68"/>
  <c r="Z61" i="68"/>
  <c r="X61" i="68"/>
  <c r="N61" i="68"/>
  <c r="L61" i="68"/>
  <c r="J61" i="68"/>
  <c r="B61" i="68"/>
  <c r="X60" i="68"/>
  <c r="Z60" i="68" s="1"/>
  <c r="L60" i="68"/>
  <c r="N60" i="68" s="1"/>
  <c r="J60" i="68"/>
  <c r="B60" i="68"/>
  <c r="Z59" i="68"/>
  <c r="X59" i="68"/>
  <c r="N59" i="68"/>
  <c r="L59" i="68"/>
  <c r="J59" i="68"/>
  <c r="B59" i="68"/>
  <c r="T58" i="68"/>
  <c r="Z58" i="68" s="1"/>
  <c r="P58" i="68"/>
  <c r="X58" i="68" s="1"/>
  <c r="H58" i="68"/>
  <c r="D58" i="68"/>
  <c r="L58" i="68" s="1"/>
  <c r="N58" i="68" s="1"/>
  <c r="B58" i="68"/>
  <c r="Z57" i="68"/>
  <c r="X57" i="68"/>
  <c r="N57" i="68"/>
  <c r="L57" i="68"/>
  <c r="J57" i="68"/>
  <c r="B57" i="68"/>
  <c r="Z56" i="68"/>
  <c r="T56" i="68"/>
  <c r="P56" i="68"/>
  <c r="X56" i="68" s="1"/>
  <c r="N56" i="68"/>
  <c r="L56" i="68"/>
  <c r="H56" i="68"/>
  <c r="J56" i="68" s="1"/>
  <c r="D56" i="68"/>
  <c r="B56" i="68"/>
  <c r="X55" i="68"/>
  <c r="Z55" i="68" s="1"/>
  <c r="V55" i="68"/>
  <c r="N55" i="68"/>
  <c r="L55" i="68"/>
  <c r="B55" i="68"/>
  <c r="X54" i="68"/>
  <c r="Z54" i="68" s="1"/>
  <c r="L54" i="68"/>
  <c r="N54" i="68" s="1"/>
  <c r="J54" i="68"/>
  <c r="B54" i="68"/>
  <c r="Z53" i="68"/>
  <c r="X53" i="68"/>
  <c r="T53" i="68"/>
  <c r="P53" i="68"/>
  <c r="L53" i="68"/>
  <c r="N53" i="68" s="1"/>
  <c r="J53" i="68"/>
  <c r="H53" i="68"/>
  <c r="D53" i="68"/>
  <c r="B53" i="68"/>
  <c r="X52" i="68"/>
  <c r="Z52" i="68" s="1"/>
  <c r="L52" i="68"/>
  <c r="N52" i="68" s="1"/>
  <c r="B52" i="68"/>
  <c r="X51" i="68"/>
  <c r="Z51" i="68" s="1"/>
  <c r="V51" i="68"/>
  <c r="T51" i="68"/>
  <c r="P51" i="68"/>
  <c r="H51" i="68"/>
  <c r="D51" i="68"/>
  <c r="B51" i="68"/>
  <c r="X50" i="68"/>
  <c r="Z50" i="68" s="1"/>
  <c r="N50" i="68"/>
  <c r="L50" i="68"/>
  <c r="J50" i="68"/>
  <c r="B50" i="68"/>
  <c r="T49" i="68"/>
  <c r="P49" i="68"/>
  <c r="X49" i="68" s="1"/>
  <c r="H49" i="68"/>
  <c r="D49" i="68"/>
  <c r="L49" i="68" s="1"/>
  <c r="N49" i="68" s="1"/>
  <c r="B49" i="68"/>
  <c r="X48" i="68"/>
  <c r="Z48" i="68" s="1"/>
  <c r="L48" i="68"/>
  <c r="N48" i="68" s="1"/>
  <c r="J48" i="68"/>
  <c r="B48" i="68"/>
  <c r="T47" i="68"/>
  <c r="P47" i="68"/>
  <c r="X47" i="68" s="1"/>
  <c r="Z47" i="68" s="1"/>
  <c r="N47" i="68"/>
  <c r="L47" i="68"/>
  <c r="J47" i="68"/>
  <c r="H47" i="68"/>
  <c r="D47" i="68"/>
  <c r="B47" i="68"/>
  <c r="Z46" i="68"/>
  <c r="X46" i="68"/>
  <c r="N46" i="68"/>
  <c r="L46" i="68"/>
  <c r="J46" i="68"/>
  <c r="B46" i="68"/>
  <c r="Z45" i="68"/>
  <c r="X45" i="68"/>
  <c r="N45" i="68"/>
  <c r="L45" i="68"/>
  <c r="J45" i="68"/>
  <c r="B45" i="68"/>
  <c r="Z44" i="68"/>
  <c r="X44" i="68"/>
  <c r="L44" i="68"/>
  <c r="N44" i="68" s="1"/>
  <c r="J44" i="68"/>
  <c r="B44" i="68"/>
  <c r="Z43" i="68"/>
  <c r="X43" i="68"/>
  <c r="N43" i="68"/>
  <c r="L43" i="68"/>
  <c r="J43" i="68"/>
  <c r="B43" i="68"/>
  <c r="Z42" i="68"/>
  <c r="X42" i="68"/>
  <c r="N42" i="68"/>
  <c r="L42" i="68"/>
  <c r="J42" i="68"/>
  <c r="B42" i="68"/>
  <c r="Z41" i="68"/>
  <c r="X41" i="68"/>
  <c r="R41" i="68"/>
  <c r="N41" i="68"/>
  <c r="L41" i="68"/>
  <c r="J41" i="68"/>
  <c r="B41" i="68"/>
  <c r="X40" i="68"/>
  <c r="Z40" i="68" s="1"/>
  <c r="V40" i="68"/>
  <c r="R40" i="68"/>
  <c r="N40" i="68"/>
  <c r="L40" i="68"/>
  <c r="B40" i="68"/>
  <c r="Z39" i="68"/>
  <c r="X39" i="68"/>
  <c r="N39" i="68"/>
  <c r="L39" i="68"/>
  <c r="B39" i="68"/>
  <c r="X38" i="68"/>
  <c r="Z38" i="68" s="1"/>
  <c r="N38" i="68"/>
  <c r="L38" i="68"/>
  <c r="J38" i="68"/>
  <c r="B38" i="68"/>
  <c r="Z37" i="68"/>
  <c r="X37" i="68"/>
  <c r="N37" i="68"/>
  <c r="L37" i="68"/>
  <c r="J37" i="68"/>
  <c r="B37" i="68"/>
  <c r="T36" i="68"/>
  <c r="P36" i="68"/>
  <c r="X36" i="68" s="1"/>
  <c r="Z36" i="68" s="1"/>
  <c r="N36" i="68"/>
  <c r="L36" i="68"/>
  <c r="J36" i="68"/>
  <c r="H36" i="68"/>
  <c r="D36" i="68"/>
  <c r="B36" i="68"/>
  <c r="X35" i="68"/>
  <c r="Z35" i="68" s="1"/>
  <c r="V35" i="68"/>
  <c r="N35" i="68"/>
  <c r="L35" i="68"/>
  <c r="B35" i="68"/>
  <c r="Z34" i="68"/>
  <c r="X34" i="68"/>
  <c r="L34" i="68"/>
  <c r="N34" i="68" s="1"/>
  <c r="J34" i="68"/>
  <c r="B34" i="68"/>
  <c r="Z33" i="68"/>
  <c r="X33" i="68"/>
  <c r="L33" i="68"/>
  <c r="N33" i="68" s="1"/>
  <c r="J33" i="68"/>
  <c r="B33" i="68"/>
  <c r="Z32" i="68"/>
  <c r="X32" i="68"/>
  <c r="N32" i="68"/>
  <c r="L32" i="68"/>
  <c r="J32" i="68"/>
  <c r="B32" i="68"/>
  <c r="Z31" i="68"/>
  <c r="X31" i="68"/>
  <c r="L31" i="68"/>
  <c r="N31" i="68" s="1"/>
  <c r="J31" i="68"/>
  <c r="B31" i="68"/>
  <c r="X30" i="68"/>
  <c r="Z30" i="68" s="1"/>
  <c r="N30" i="68"/>
  <c r="L30" i="68"/>
  <c r="J30" i="68"/>
  <c r="B30" i="68"/>
  <c r="X29" i="68"/>
  <c r="Z29" i="68" s="1"/>
  <c r="R29" i="68"/>
  <c r="N29" i="68"/>
  <c r="L29" i="68"/>
  <c r="J29" i="68"/>
  <c r="B29" i="68"/>
  <c r="X28" i="68"/>
  <c r="Z28" i="68" s="1"/>
  <c r="V28" i="68"/>
  <c r="R28" i="68"/>
  <c r="N28" i="68"/>
  <c r="L28" i="68"/>
  <c r="B28" i="68"/>
  <c r="X27" i="68"/>
  <c r="Z27" i="68" s="1"/>
  <c r="N27" i="68"/>
  <c r="L27" i="68"/>
  <c r="B27" i="68"/>
  <c r="Z26" i="68"/>
  <c r="X26" i="68"/>
  <c r="T26" i="68"/>
  <c r="P26" i="68"/>
  <c r="H26" i="68"/>
  <c r="D26" i="68"/>
  <c r="B26" i="68"/>
  <c r="T25" i="68"/>
  <c r="P25" i="68"/>
  <c r="H25" i="68"/>
  <c r="N25" i="68" s="1"/>
  <c r="D25" i="68"/>
  <c r="L25" i="68" s="1"/>
  <c r="Z21" i="68"/>
  <c r="X21" i="68"/>
  <c r="N21" i="68"/>
  <c r="L21" i="68"/>
  <c r="J21" i="68"/>
  <c r="B21" i="68"/>
  <c r="Z20" i="68"/>
  <c r="X20" i="68"/>
  <c r="N20" i="68"/>
  <c r="L20" i="68"/>
  <c r="B20" i="68"/>
  <c r="Z19" i="68"/>
  <c r="X19" i="68"/>
  <c r="V19" i="68"/>
  <c r="T19" i="68"/>
  <c r="P19" i="68"/>
  <c r="H19" i="68"/>
  <c r="D19" i="68"/>
  <c r="Z17" i="68"/>
  <c r="P17" i="68"/>
  <c r="X17" i="68" s="1"/>
  <c r="N17" i="68"/>
  <c r="D17" i="68"/>
  <c r="L17" i="68" s="1"/>
  <c r="B17" i="68"/>
  <c r="Z16" i="68"/>
  <c r="X16" i="68"/>
  <c r="P16" i="68"/>
  <c r="N16" i="68"/>
  <c r="D16" i="68"/>
  <c r="L16" i="68" s="1"/>
  <c r="B16" i="68"/>
  <c r="Z15" i="68"/>
  <c r="X15" i="68"/>
  <c r="P15" i="68"/>
  <c r="N15" i="68"/>
  <c r="D15" i="68"/>
  <c r="L15" i="68" s="1"/>
  <c r="B15" i="68"/>
  <c r="X14" i="68"/>
  <c r="Z14" i="68" s="1"/>
  <c r="P14" i="68"/>
  <c r="D14" i="68"/>
  <c r="L14" i="68" s="1"/>
  <c r="N14" i="68" s="1"/>
  <c r="B14" i="68"/>
  <c r="X13" i="68"/>
  <c r="Z13" i="68" s="1"/>
  <c r="P13" i="68"/>
  <c r="N13" i="68"/>
  <c r="L13" i="68"/>
  <c r="D13" i="68"/>
  <c r="B13" i="68"/>
  <c r="T12" i="68"/>
  <c r="V52" i="68" s="1"/>
  <c r="P12" i="68"/>
  <c r="R52" i="68" s="1"/>
  <c r="H12" i="68"/>
  <c r="J70" i="68" s="1"/>
  <c r="D6" i="68"/>
  <c r="D4" i="68"/>
  <c r="X112" i="67"/>
  <c r="Z112" i="67" s="1"/>
  <c r="L112" i="67"/>
  <c r="N112" i="67" s="1"/>
  <c r="Z108" i="67"/>
  <c r="P108" i="67"/>
  <c r="X108" i="67" s="1"/>
  <c r="N108" i="67"/>
  <c r="L108" i="67"/>
  <c r="D108" i="67"/>
  <c r="B108" i="67"/>
  <c r="Z107" i="67"/>
  <c r="X107" i="67"/>
  <c r="P107" i="67"/>
  <c r="D107" i="67"/>
  <c r="L107" i="67" s="1"/>
  <c r="N107" i="67" s="1"/>
  <c r="B107" i="67"/>
  <c r="P106" i="67"/>
  <c r="N106" i="67"/>
  <c r="L106" i="67"/>
  <c r="D106" i="67"/>
  <c r="B106" i="67"/>
  <c r="T105" i="67"/>
  <c r="H105" i="67"/>
  <c r="Z103" i="67"/>
  <c r="X103" i="67"/>
  <c r="L103" i="67"/>
  <c r="N103" i="67" s="1"/>
  <c r="B103" i="67"/>
  <c r="T102" i="67"/>
  <c r="P102" i="67"/>
  <c r="X102" i="67" s="1"/>
  <c r="Z102" i="67" s="1"/>
  <c r="N102" i="67"/>
  <c r="L102" i="67"/>
  <c r="H102" i="67"/>
  <c r="D102" i="67"/>
  <c r="B102" i="67"/>
  <c r="Z101" i="67"/>
  <c r="X101" i="67"/>
  <c r="N101" i="67"/>
  <c r="L101" i="67"/>
  <c r="B101" i="67"/>
  <c r="X100" i="67"/>
  <c r="Z100" i="67" s="1"/>
  <c r="T100" i="67"/>
  <c r="P100" i="67"/>
  <c r="J100" i="67"/>
  <c r="H100" i="67"/>
  <c r="L100" i="67" s="1"/>
  <c r="D100" i="67"/>
  <c r="B100" i="67"/>
  <c r="X99" i="67"/>
  <c r="Z99" i="67" s="1"/>
  <c r="N99" i="67"/>
  <c r="L99" i="67"/>
  <c r="B99" i="67"/>
  <c r="Z98" i="67"/>
  <c r="X98" i="67"/>
  <c r="N98" i="67"/>
  <c r="L98" i="67"/>
  <c r="B98" i="67"/>
  <c r="X97" i="67"/>
  <c r="Z97" i="67" s="1"/>
  <c r="N97" i="67"/>
  <c r="L97" i="67"/>
  <c r="B97" i="67"/>
  <c r="Z96" i="67"/>
  <c r="X96" i="67"/>
  <c r="N96" i="67"/>
  <c r="L96" i="67"/>
  <c r="B96" i="67"/>
  <c r="T95" i="67"/>
  <c r="P95" i="67"/>
  <c r="X95" i="67" s="1"/>
  <c r="Z95" i="67" s="1"/>
  <c r="N95" i="67"/>
  <c r="L95" i="67"/>
  <c r="H95" i="67"/>
  <c r="D95" i="67"/>
  <c r="B95" i="67"/>
  <c r="Z94" i="67"/>
  <c r="X94" i="67"/>
  <c r="N94" i="67"/>
  <c r="L94" i="67"/>
  <c r="B94" i="67"/>
  <c r="X93" i="67"/>
  <c r="Z93" i="67" s="1"/>
  <c r="N93" i="67"/>
  <c r="L93" i="67"/>
  <c r="B93" i="67"/>
  <c r="Z92" i="67"/>
  <c r="X92" i="67"/>
  <c r="T92" i="67"/>
  <c r="P92" i="67"/>
  <c r="N92" i="67"/>
  <c r="H92" i="67"/>
  <c r="L92" i="67" s="1"/>
  <c r="D92" i="67"/>
  <c r="B92" i="67"/>
  <c r="Z91" i="67"/>
  <c r="X91" i="67"/>
  <c r="N91" i="67"/>
  <c r="L91" i="67"/>
  <c r="B91" i="67"/>
  <c r="X90" i="67"/>
  <c r="Z90" i="67" s="1"/>
  <c r="N90" i="67"/>
  <c r="L90" i="67"/>
  <c r="B90" i="67"/>
  <c r="Z89" i="67"/>
  <c r="X89" i="67"/>
  <c r="V89" i="67"/>
  <c r="N89" i="67"/>
  <c r="L89" i="67"/>
  <c r="B89" i="67"/>
  <c r="Z88" i="67"/>
  <c r="X88" i="67"/>
  <c r="T88" i="67"/>
  <c r="P88" i="67"/>
  <c r="N88" i="67"/>
  <c r="L88" i="67"/>
  <c r="H88" i="67"/>
  <c r="D88" i="67"/>
  <c r="B88" i="67"/>
  <c r="Z87" i="67"/>
  <c r="X87" i="67"/>
  <c r="N87" i="67"/>
  <c r="L87" i="67"/>
  <c r="B87" i="67"/>
  <c r="Z86" i="67"/>
  <c r="X86" i="67"/>
  <c r="V86" i="67"/>
  <c r="N86" i="67"/>
  <c r="L86" i="67"/>
  <c r="B86" i="67"/>
  <c r="T85" i="67"/>
  <c r="P85" i="67"/>
  <c r="L85" i="67"/>
  <c r="H85" i="67"/>
  <c r="N85" i="67" s="1"/>
  <c r="D85" i="67"/>
  <c r="B85" i="67"/>
  <c r="X84" i="67"/>
  <c r="Z84" i="67" s="1"/>
  <c r="N84" i="67"/>
  <c r="L84" i="67"/>
  <c r="B84" i="67"/>
  <c r="T83" i="67"/>
  <c r="X83" i="67" s="1"/>
  <c r="P83" i="67"/>
  <c r="H83" i="67"/>
  <c r="N83" i="67" s="1"/>
  <c r="D83" i="67"/>
  <c r="B83" i="67"/>
  <c r="Z82" i="67"/>
  <c r="X82" i="67"/>
  <c r="N82" i="67"/>
  <c r="L82" i="67"/>
  <c r="B82" i="67"/>
  <c r="T81" i="67"/>
  <c r="P81" i="67"/>
  <c r="X81" i="67" s="1"/>
  <c r="H81" i="67"/>
  <c r="D81" i="67"/>
  <c r="L81" i="67" s="1"/>
  <c r="N81" i="67" s="1"/>
  <c r="B81" i="67"/>
  <c r="Z80" i="67"/>
  <c r="X80" i="67"/>
  <c r="N80" i="67"/>
  <c r="L80" i="67"/>
  <c r="B80" i="67"/>
  <c r="Z79" i="67"/>
  <c r="X79" i="67"/>
  <c r="T79" i="67"/>
  <c r="P79" i="67"/>
  <c r="J79" i="67"/>
  <c r="H79" i="67"/>
  <c r="N79" i="67" s="1"/>
  <c r="D79" i="67"/>
  <c r="B79" i="67"/>
  <c r="Z78" i="67"/>
  <c r="X78" i="67"/>
  <c r="N78" i="67"/>
  <c r="L78" i="67"/>
  <c r="B78" i="67"/>
  <c r="X77" i="67"/>
  <c r="Z77" i="67" s="1"/>
  <c r="N77" i="67"/>
  <c r="L77" i="67"/>
  <c r="B77" i="67"/>
  <c r="X76" i="67"/>
  <c r="Z76" i="67" s="1"/>
  <c r="T76" i="67"/>
  <c r="P76" i="67"/>
  <c r="N76" i="67"/>
  <c r="L76" i="67"/>
  <c r="H76" i="67"/>
  <c r="D76" i="67"/>
  <c r="B76" i="67"/>
  <c r="Z75" i="67"/>
  <c r="X75" i="67"/>
  <c r="N75" i="67"/>
  <c r="L75" i="67"/>
  <c r="B75" i="67"/>
  <c r="Z74" i="67"/>
  <c r="X74" i="67"/>
  <c r="T74" i="67"/>
  <c r="P74" i="67"/>
  <c r="H74" i="67"/>
  <c r="N74" i="67" s="1"/>
  <c r="D74" i="67"/>
  <c r="L74" i="67" s="1"/>
  <c r="B74" i="67"/>
  <c r="Z73" i="67"/>
  <c r="X73" i="67"/>
  <c r="N73" i="67"/>
  <c r="L73" i="67"/>
  <c r="J73" i="67"/>
  <c r="B73" i="67"/>
  <c r="T72" i="67"/>
  <c r="P72" i="67"/>
  <c r="L72" i="67"/>
  <c r="N72" i="67" s="1"/>
  <c r="H72" i="67"/>
  <c r="D72" i="67"/>
  <c r="B72" i="67"/>
  <c r="Z71" i="67"/>
  <c r="X71" i="67"/>
  <c r="N71" i="67"/>
  <c r="L71" i="67"/>
  <c r="J71" i="67"/>
  <c r="B71" i="67"/>
  <c r="Z70" i="67"/>
  <c r="T70" i="67"/>
  <c r="P70" i="67"/>
  <c r="X70" i="67" s="1"/>
  <c r="N70" i="67"/>
  <c r="H70" i="67"/>
  <c r="L70" i="67" s="1"/>
  <c r="D70" i="67"/>
  <c r="B70" i="67"/>
  <c r="Z69" i="67"/>
  <c r="X69" i="67"/>
  <c r="N69" i="67"/>
  <c r="L69" i="67"/>
  <c r="B69" i="67"/>
  <c r="Z68" i="67"/>
  <c r="X68" i="67"/>
  <c r="T68" i="67"/>
  <c r="P68" i="67"/>
  <c r="H68" i="67"/>
  <c r="N68" i="67" s="1"/>
  <c r="D68" i="67"/>
  <c r="L68" i="67" s="1"/>
  <c r="B68" i="67"/>
  <c r="Z67" i="67"/>
  <c r="X67" i="67"/>
  <c r="N67" i="67"/>
  <c r="L67" i="67"/>
  <c r="J67" i="67"/>
  <c r="B67" i="67"/>
  <c r="Z66" i="67"/>
  <c r="T66" i="67"/>
  <c r="P66" i="67"/>
  <c r="X66" i="67" s="1"/>
  <c r="J66" i="67"/>
  <c r="H66" i="67"/>
  <c r="N66" i="67" s="1"/>
  <c r="D66" i="67"/>
  <c r="L66" i="67" s="1"/>
  <c r="B66" i="67"/>
  <c r="Z65" i="67"/>
  <c r="X65" i="67"/>
  <c r="N65" i="67"/>
  <c r="L65" i="67"/>
  <c r="B65" i="67"/>
  <c r="T64" i="67"/>
  <c r="P64" i="67"/>
  <c r="L64" i="67"/>
  <c r="N64" i="67" s="1"/>
  <c r="H64" i="67"/>
  <c r="D64" i="67"/>
  <c r="B64" i="67"/>
  <c r="Z63" i="67"/>
  <c r="X63" i="67"/>
  <c r="N63" i="67"/>
  <c r="L63" i="67"/>
  <c r="B63" i="67"/>
  <c r="Z62" i="67"/>
  <c r="X62" i="67"/>
  <c r="N62" i="67"/>
  <c r="L62" i="67"/>
  <c r="B62" i="67"/>
  <c r="Z61" i="67"/>
  <c r="X61" i="67"/>
  <c r="N61" i="67"/>
  <c r="L61" i="67"/>
  <c r="B61" i="67"/>
  <c r="X60" i="67"/>
  <c r="Z60" i="67" s="1"/>
  <c r="L60" i="67"/>
  <c r="N60" i="67" s="1"/>
  <c r="B60" i="67"/>
  <c r="Z59" i="67"/>
  <c r="X59" i="67"/>
  <c r="N59" i="67"/>
  <c r="L59" i="67"/>
  <c r="B59" i="67"/>
  <c r="Z58" i="67"/>
  <c r="X58" i="67"/>
  <c r="N58" i="67"/>
  <c r="L58" i="67"/>
  <c r="B58" i="67"/>
  <c r="X57" i="67"/>
  <c r="Z57" i="67" s="1"/>
  <c r="N57" i="67"/>
  <c r="L57" i="67"/>
  <c r="B57" i="67"/>
  <c r="Z56" i="67"/>
  <c r="X56" i="67"/>
  <c r="N56" i="67"/>
  <c r="L56" i="67"/>
  <c r="B56" i="67"/>
  <c r="Z55" i="67"/>
  <c r="X55" i="67"/>
  <c r="V55" i="67"/>
  <c r="L55" i="67"/>
  <c r="N55" i="67" s="1"/>
  <c r="B55" i="67"/>
  <c r="Z54" i="67"/>
  <c r="X54" i="67"/>
  <c r="N54" i="67"/>
  <c r="L54" i="67"/>
  <c r="B54" i="67"/>
  <c r="T53" i="67"/>
  <c r="P53" i="67"/>
  <c r="X53" i="67" s="1"/>
  <c r="Z53" i="67" s="1"/>
  <c r="H53" i="67"/>
  <c r="D53" i="67"/>
  <c r="L53" i="67" s="1"/>
  <c r="N53" i="67" s="1"/>
  <c r="B53" i="67"/>
  <c r="X52" i="67"/>
  <c r="Z52" i="67" s="1"/>
  <c r="V52" i="67"/>
  <c r="L52" i="67"/>
  <c r="N52" i="67" s="1"/>
  <c r="B52" i="67"/>
  <c r="X51" i="67"/>
  <c r="Z51" i="67" s="1"/>
  <c r="V51" i="67"/>
  <c r="L51" i="67"/>
  <c r="N51" i="67" s="1"/>
  <c r="B51" i="67"/>
  <c r="X50" i="67"/>
  <c r="Z50" i="67" s="1"/>
  <c r="L50" i="67"/>
  <c r="N50" i="67" s="1"/>
  <c r="B50" i="67"/>
  <c r="Z49" i="67"/>
  <c r="X49" i="67"/>
  <c r="N49" i="67"/>
  <c r="L49" i="67"/>
  <c r="B49" i="67"/>
  <c r="X48" i="67"/>
  <c r="Z48" i="67" s="1"/>
  <c r="N48" i="67"/>
  <c r="L48" i="67"/>
  <c r="B48" i="67"/>
  <c r="X47" i="67"/>
  <c r="Z47" i="67" s="1"/>
  <c r="L47" i="67"/>
  <c r="N47" i="67" s="1"/>
  <c r="B47" i="67"/>
  <c r="X46" i="67"/>
  <c r="Z46" i="67" s="1"/>
  <c r="L46" i="67"/>
  <c r="N46" i="67" s="1"/>
  <c r="B46" i="67"/>
  <c r="X45" i="67"/>
  <c r="Z45" i="67" s="1"/>
  <c r="N45" i="67"/>
  <c r="L45" i="67"/>
  <c r="F45" i="67"/>
  <c r="B45" i="67"/>
  <c r="X44" i="67"/>
  <c r="Z44" i="67" s="1"/>
  <c r="L44" i="67"/>
  <c r="N44" i="67" s="1"/>
  <c r="J44" i="67"/>
  <c r="B44" i="67"/>
  <c r="T43" i="67"/>
  <c r="P43" i="67"/>
  <c r="X43" i="67" s="1"/>
  <c r="Z43" i="67" s="1"/>
  <c r="N43" i="67"/>
  <c r="L43" i="67"/>
  <c r="H43" i="67"/>
  <c r="D43" i="67"/>
  <c r="B43" i="67"/>
  <c r="Z42" i="67"/>
  <c r="X42" i="67"/>
  <c r="V42" i="67"/>
  <c r="T42" i="67"/>
  <c r="P42" i="67"/>
  <c r="H42" i="67"/>
  <c r="D42" i="67"/>
  <c r="L42" i="67" s="1"/>
  <c r="H40" i="67"/>
  <c r="Z38" i="67"/>
  <c r="X38" i="67"/>
  <c r="N38" i="67"/>
  <c r="L38" i="67"/>
  <c r="B38" i="67"/>
  <c r="Z37" i="67"/>
  <c r="X37" i="67"/>
  <c r="N37" i="67"/>
  <c r="L37" i="67"/>
  <c r="B37" i="67"/>
  <c r="Z36" i="67"/>
  <c r="X36" i="67"/>
  <c r="N36" i="67"/>
  <c r="L36" i="67"/>
  <c r="B36" i="67"/>
  <c r="Z35" i="67"/>
  <c r="X35" i="67"/>
  <c r="N35" i="67"/>
  <c r="L35" i="67"/>
  <c r="B35" i="67"/>
  <c r="Z34" i="67"/>
  <c r="X34" i="67"/>
  <c r="N34" i="67"/>
  <c r="L34" i="67"/>
  <c r="B34" i="67"/>
  <c r="Z33" i="67"/>
  <c r="X33" i="67"/>
  <c r="N33" i="67"/>
  <c r="L33" i="67"/>
  <c r="B33" i="67"/>
  <c r="Z32" i="67"/>
  <c r="X32" i="67"/>
  <c r="N32" i="67"/>
  <c r="L32" i="67"/>
  <c r="B32" i="67"/>
  <c r="Z31" i="67"/>
  <c r="X31" i="67"/>
  <c r="N31" i="67"/>
  <c r="L31" i="67"/>
  <c r="J31" i="67"/>
  <c r="B31" i="67"/>
  <c r="Z30" i="67"/>
  <c r="X30" i="67"/>
  <c r="N30" i="67"/>
  <c r="L30" i="67"/>
  <c r="B30" i="67"/>
  <c r="Z29" i="67"/>
  <c r="X29" i="67"/>
  <c r="N29" i="67"/>
  <c r="L29" i="67"/>
  <c r="B29" i="67"/>
  <c r="Z28" i="67"/>
  <c r="X28" i="67"/>
  <c r="N28" i="67"/>
  <c r="L28" i="67"/>
  <c r="F28" i="67"/>
  <c r="B28" i="67"/>
  <c r="Z27" i="67"/>
  <c r="X27" i="67"/>
  <c r="N27" i="67"/>
  <c r="L27" i="67"/>
  <c r="F27" i="67"/>
  <c r="B27" i="67"/>
  <c r="Z26" i="67"/>
  <c r="X26" i="67"/>
  <c r="N26" i="67"/>
  <c r="L26" i="67"/>
  <c r="J26" i="67"/>
  <c r="F26" i="67"/>
  <c r="B26" i="67"/>
  <c r="Z25" i="67"/>
  <c r="X25" i="67"/>
  <c r="N25" i="67"/>
  <c r="L25" i="67"/>
  <c r="J25" i="67"/>
  <c r="B25" i="67"/>
  <c r="Z24" i="67"/>
  <c r="X24" i="67"/>
  <c r="N24" i="67"/>
  <c r="L24" i="67"/>
  <c r="J24" i="67"/>
  <c r="B24" i="67"/>
  <c r="Z23" i="67"/>
  <c r="X23" i="67"/>
  <c r="N23" i="67"/>
  <c r="L23" i="67"/>
  <c r="B23" i="67"/>
  <c r="Z22" i="67"/>
  <c r="X22" i="67"/>
  <c r="V22" i="67"/>
  <c r="N22" i="67"/>
  <c r="L22" i="67"/>
  <c r="B22" i="67"/>
  <c r="Z21" i="67"/>
  <c r="X21" i="67"/>
  <c r="V21" i="67"/>
  <c r="N21" i="67"/>
  <c r="L21" i="67"/>
  <c r="J21" i="67"/>
  <c r="B21" i="67"/>
  <c r="Z20" i="67"/>
  <c r="X20" i="67"/>
  <c r="V20" i="67"/>
  <c r="L20" i="67"/>
  <c r="N20" i="67" s="1"/>
  <c r="B20" i="67"/>
  <c r="Z19" i="67"/>
  <c r="X19" i="67"/>
  <c r="T19" i="67"/>
  <c r="P19" i="67"/>
  <c r="J19" i="67"/>
  <c r="H19" i="67"/>
  <c r="D19" i="67"/>
  <c r="Z17" i="67"/>
  <c r="X17" i="67"/>
  <c r="P17" i="67"/>
  <c r="N17" i="67"/>
  <c r="D17" i="67"/>
  <c r="L17" i="67" s="1"/>
  <c r="B17" i="67"/>
  <c r="Z16" i="67"/>
  <c r="X16" i="67"/>
  <c r="P16" i="67"/>
  <c r="N16" i="67"/>
  <c r="L16" i="67"/>
  <c r="D16" i="67"/>
  <c r="B16" i="67"/>
  <c r="Z15" i="67"/>
  <c r="P15" i="67"/>
  <c r="X15" i="67" s="1"/>
  <c r="N15" i="67"/>
  <c r="D15" i="67"/>
  <c r="L15" i="67" s="1"/>
  <c r="B15" i="67"/>
  <c r="Z14" i="67"/>
  <c r="P14" i="67"/>
  <c r="X14" i="67" s="1"/>
  <c r="N14" i="67"/>
  <c r="L14" i="67"/>
  <c r="D14" i="67"/>
  <c r="B14" i="67"/>
  <c r="X13" i="67"/>
  <c r="Z13" i="67" s="1"/>
  <c r="P13" i="67"/>
  <c r="L13" i="67"/>
  <c r="N13" i="67" s="1"/>
  <c r="D13" i="67"/>
  <c r="D12" i="67" s="1"/>
  <c r="F74" i="67" s="1"/>
  <c r="B13" i="67"/>
  <c r="T12" i="67"/>
  <c r="V83" i="67" s="1"/>
  <c r="H12" i="67"/>
  <c r="J106" i="67" s="1"/>
  <c r="D6" i="67"/>
  <c r="D4" i="67"/>
  <c r="Z91" i="65"/>
  <c r="X91" i="65"/>
  <c r="N91" i="65"/>
  <c r="L91" i="65"/>
  <c r="Z87" i="65"/>
  <c r="P87" i="65"/>
  <c r="X87" i="65" s="1"/>
  <c r="N87" i="65"/>
  <c r="D87" i="65"/>
  <c r="L87" i="65" s="1"/>
  <c r="B87" i="65"/>
  <c r="Z86" i="65"/>
  <c r="X86" i="65"/>
  <c r="P86" i="65"/>
  <c r="N86" i="65"/>
  <c r="D86" i="65"/>
  <c r="B86" i="65"/>
  <c r="X85" i="65"/>
  <c r="Z85" i="65" s="1"/>
  <c r="P85" i="65"/>
  <c r="N85" i="65"/>
  <c r="L85" i="65"/>
  <c r="J85" i="65"/>
  <c r="D85" i="65"/>
  <c r="B85" i="65"/>
  <c r="V84" i="65"/>
  <c r="P84" i="65"/>
  <c r="L84" i="65"/>
  <c r="N84" i="65" s="1"/>
  <c r="D84" i="65"/>
  <c r="B84" i="65"/>
  <c r="T83" i="65"/>
  <c r="H83" i="65"/>
  <c r="Z81" i="65"/>
  <c r="X81" i="65"/>
  <c r="N81" i="65"/>
  <c r="L81" i="65"/>
  <c r="B81" i="65"/>
  <c r="Z80" i="65"/>
  <c r="V80" i="65"/>
  <c r="T80" i="65"/>
  <c r="P80" i="65"/>
  <c r="X80" i="65" s="1"/>
  <c r="N80" i="65"/>
  <c r="L80" i="65"/>
  <c r="H80" i="65"/>
  <c r="D80" i="65"/>
  <c r="B80" i="65"/>
  <c r="X79" i="65"/>
  <c r="Z79" i="65" s="1"/>
  <c r="L79" i="65"/>
  <c r="N79" i="65" s="1"/>
  <c r="J79" i="65"/>
  <c r="B79" i="65"/>
  <c r="Z78" i="65"/>
  <c r="X78" i="65"/>
  <c r="N78" i="65"/>
  <c r="L78" i="65"/>
  <c r="J78" i="65"/>
  <c r="B78" i="65"/>
  <c r="T77" i="65"/>
  <c r="P77" i="65"/>
  <c r="X77" i="65" s="1"/>
  <c r="Z77" i="65" s="1"/>
  <c r="H77" i="65"/>
  <c r="D77" i="65"/>
  <c r="L77" i="65" s="1"/>
  <c r="N77" i="65" s="1"/>
  <c r="B77" i="65"/>
  <c r="Z76" i="65"/>
  <c r="X76" i="65"/>
  <c r="N76" i="65"/>
  <c r="L76" i="65"/>
  <c r="B76" i="65"/>
  <c r="Z75" i="65"/>
  <c r="X75" i="65"/>
  <c r="V75" i="65"/>
  <c r="L75" i="65"/>
  <c r="N75" i="65" s="1"/>
  <c r="B75" i="65"/>
  <c r="X74" i="65"/>
  <c r="T74" i="65"/>
  <c r="Z74" i="65" s="1"/>
  <c r="P74" i="65"/>
  <c r="N74" i="65"/>
  <c r="L74" i="65"/>
  <c r="H74" i="65"/>
  <c r="D74" i="65"/>
  <c r="B74" i="65"/>
  <c r="X73" i="65"/>
  <c r="Z73" i="65" s="1"/>
  <c r="V73" i="65"/>
  <c r="N73" i="65"/>
  <c r="L73" i="65"/>
  <c r="B73" i="65"/>
  <c r="Z72" i="65"/>
  <c r="X72" i="65"/>
  <c r="T72" i="65"/>
  <c r="P72" i="65"/>
  <c r="J72" i="65"/>
  <c r="H72" i="65"/>
  <c r="N72" i="65" s="1"/>
  <c r="D72" i="65"/>
  <c r="L72" i="65" s="1"/>
  <c r="B72" i="65"/>
  <c r="X71" i="65"/>
  <c r="Z71" i="65" s="1"/>
  <c r="R71" i="65"/>
  <c r="N71" i="65"/>
  <c r="L71" i="65"/>
  <c r="J71" i="65"/>
  <c r="B71" i="65"/>
  <c r="Z70" i="65"/>
  <c r="X70" i="65"/>
  <c r="V70" i="65"/>
  <c r="L70" i="65"/>
  <c r="N70" i="65" s="1"/>
  <c r="B70" i="65"/>
  <c r="Z69" i="65"/>
  <c r="X69" i="65"/>
  <c r="V69" i="65"/>
  <c r="N69" i="65"/>
  <c r="L69" i="65"/>
  <c r="B69" i="65"/>
  <c r="Z68" i="65"/>
  <c r="X68" i="65"/>
  <c r="T68" i="65"/>
  <c r="P68" i="65"/>
  <c r="J68" i="65"/>
  <c r="H68" i="65"/>
  <c r="D68" i="65"/>
  <c r="L68" i="65" s="1"/>
  <c r="B68" i="65"/>
  <c r="X67" i="65"/>
  <c r="Z67" i="65" s="1"/>
  <c r="R67" i="65"/>
  <c r="N67" i="65"/>
  <c r="L67" i="65"/>
  <c r="J67" i="65"/>
  <c r="B67" i="65"/>
  <c r="V66" i="65"/>
  <c r="T66" i="65"/>
  <c r="P66" i="65"/>
  <c r="X66" i="65" s="1"/>
  <c r="H66" i="65"/>
  <c r="D66" i="65"/>
  <c r="L66" i="65" s="1"/>
  <c r="N66" i="65" s="1"/>
  <c r="B66" i="65"/>
  <c r="Z65" i="65"/>
  <c r="X65" i="65"/>
  <c r="L65" i="65"/>
  <c r="N65" i="65" s="1"/>
  <c r="J65" i="65"/>
  <c r="B65" i="65"/>
  <c r="T64" i="65"/>
  <c r="R64" i="65"/>
  <c r="P64" i="65"/>
  <c r="X64" i="65" s="1"/>
  <c r="Z64" i="65" s="1"/>
  <c r="L64" i="65"/>
  <c r="H64" i="65"/>
  <c r="N64" i="65" s="1"/>
  <c r="D64" i="65"/>
  <c r="B64" i="65"/>
  <c r="Z63" i="65"/>
  <c r="X63" i="65"/>
  <c r="V63" i="65"/>
  <c r="L63" i="65"/>
  <c r="N63" i="65" s="1"/>
  <c r="B63" i="65"/>
  <c r="X62" i="65"/>
  <c r="T62" i="65"/>
  <c r="Z62" i="65" s="1"/>
  <c r="P62" i="65"/>
  <c r="N62" i="65"/>
  <c r="L62" i="65"/>
  <c r="H62" i="65"/>
  <c r="D62" i="65"/>
  <c r="B62" i="65"/>
  <c r="X61" i="65"/>
  <c r="Z61" i="65" s="1"/>
  <c r="V61" i="65"/>
  <c r="N61" i="65"/>
  <c r="L61" i="65"/>
  <c r="B61" i="65"/>
  <c r="Z60" i="65"/>
  <c r="X60" i="65"/>
  <c r="T60" i="65"/>
  <c r="P60" i="65"/>
  <c r="J60" i="65"/>
  <c r="H60" i="65"/>
  <c r="D60" i="65"/>
  <c r="L60" i="65" s="1"/>
  <c r="B60" i="65"/>
  <c r="X59" i="65"/>
  <c r="Z59" i="65" s="1"/>
  <c r="R59" i="65"/>
  <c r="N59" i="65"/>
  <c r="L59" i="65"/>
  <c r="J59" i="65"/>
  <c r="B59" i="65"/>
  <c r="V58" i="65"/>
  <c r="T58" i="65"/>
  <c r="Z58" i="65" s="1"/>
  <c r="P58" i="65"/>
  <c r="X58" i="65" s="1"/>
  <c r="H58" i="65"/>
  <c r="N58" i="65" s="1"/>
  <c r="D58" i="65"/>
  <c r="L58" i="65" s="1"/>
  <c r="B58" i="65"/>
  <c r="Z57" i="65"/>
  <c r="X57" i="65"/>
  <c r="L57" i="65"/>
  <c r="N57" i="65" s="1"/>
  <c r="J57" i="65"/>
  <c r="B57" i="65"/>
  <c r="T56" i="65"/>
  <c r="Z56" i="65" s="1"/>
  <c r="R56" i="65"/>
  <c r="P56" i="65"/>
  <c r="X56" i="65" s="1"/>
  <c r="L56" i="65"/>
  <c r="H56" i="65"/>
  <c r="N56" i="65" s="1"/>
  <c r="D56" i="65"/>
  <c r="B56" i="65"/>
  <c r="Z55" i="65"/>
  <c r="X55" i="65"/>
  <c r="V55" i="65"/>
  <c r="N55" i="65"/>
  <c r="L55" i="65"/>
  <c r="B55" i="65"/>
  <c r="Z54" i="65"/>
  <c r="X54" i="65"/>
  <c r="N54" i="65"/>
  <c r="L54" i="65"/>
  <c r="J54" i="65"/>
  <c r="B54" i="65"/>
  <c r="Z53" i="65"/>
  <c r="X53" i="65"/>
  <c r="L53" i="65"/>
  <c r="N53" i="65" s="1"/>
  <c r="J53" i="65"/>
  <c r="B53" i="65"/>
  <c r="Z52" i="65"/>
  <c r="X52" i="65"/>
  <c r="N52" i="65"/>
  <c r="L52" i="65"/>
  <c r="B52" i="65"/>
  <c r="Z51" i="65"/>
  <c r="X51" i="65"/>
  <c r="R51" i="65"/>
  <c r="N51" i="65"/>
  <c r="L51" i="65"/>
  <c r="J51" i="65"/>
  <c r="B51" i="65"/>
  <c r="Z50" i="65"/>
  <c r="X50" i="65"/>
  <c r="V50" i="65"/>
  <c r="L50" i="65"/>
  <c r="N50" i="65" s="1"/>
  <c r="B50" i="65"/>
  <c r="X49" i="65"/>
  <c r="Z49" i="65" s="1"/>
  <c r="V49" i="65"/>
  <c r="N49" i="65"/>
  <c r="L49" i="65"/>
  <c r="B49" i="65"/>
  <c r="Z48" i="65"/>
  <c r="X48" i="65"/>
  <c r="N48" i="65"/>
  <c r="L48" i="65"/>
  <c r="B48" i="65"/>
  <c r="Z47" i="65"/>
  <c r="X47" i="65"/>
  <c r="V47" i="65"/>
  <c r="L47" i="65"/>
  <c r="N47" i="65" s="1"/>
  <c r="B47" i="65"/>
  <c r="Z46" i="65"/>
  <c r="X46" i="65"/>
  <c r="N46" i="65"/>
  <c r="L46" i="65"/>
  <c r="J46" i="65"/>
  <c r="B46" i="65"/>
  <c r="T45" i="65"/>
  <c r="P45" i="65"/>
  <c r="X45" i="65" s="1"/>
  <c r="Z45" i="65" s="1"/>
  <c r="J45" i="65"/>
  <c r="H45" i="65"/>
  <c r="D45" i="65"/>
  <c r="L45" i="65" s="1"/>
  <c r="N45" i="65" s="1"/>
  <c r="B45" i="65"/>
  <c r="Z44" i="65"/>
  <c r="X44" i="65"/>
  <c r="N44" i="65"/>
  <c r="L44" i="65"/>
  <c r="B44" i="65"/>
  <c r="Z43" i="65"/>
  <c r="X43" i="65"/>
  <c r="V43" i="65"/>
  <c r="L43" i="65"/>
  <c r="N43" i="65" s="1"/>
  <c r="B43" i="65"/>
  <c r="X42" i="65"/>
  <c r="Z42" i="65" s="1"/>
  <c r="N42" i="65"/>
  <c r="L42" i="65"/>
  <c r="J42" i="65"/>
  <c r="B42" i="65"/>
  <c r="Z41" i="65"/>
  <c r="X41" i="65"/>
  <c r="N41" i="65"/>
  <c r="L41" i="65"/>
  <c r="J41" i="65"/>
  <c r="B41" i="65"/>
  <c r="Z40" i="65"/>
  <c r="X40" i="65"/>
  <c r="N40" i="65"/>
  <c r="L40" i="65"/>
  <c r="B40" i="65"/>
  <c r="X39" i="65"/>
  <c r="Z39" i="65" s="1"/>
  <c r="R39" i="65"/>
  <c r="N39" i="65"/>
  <c r="L39" i="65"/>
  <c r="J39" i="65"/>
  <c r="B39" i="65"/>
  <c r="Z38" i="65"/>
  <c r="X38" i="65"/>
  <c r="V38" i="65"/>
  <c r="L38" i="65"/>
  <c r="N38" i="65" s="1"/>
  <c r="B38" i="65"/>
  <c r="X37" i="65"/>
  <c r="Z37" i="65" s="1"/>
  <c r="V37" i="65"/>
  <c r="N37" i="65"/>
  <c r="L37" i="65"/>
  <c r="B37" i="65"/>
  <c r="Z36" i="65"/>
  <c r="X36" i="65"/>
  <c r="N36" i="65"/>
  <c r="L36" i="65"/>
  <c r="B36" i="65"/>
  <c r="Z35" i="65"/>
  <c r="X35" i="65"/>
  <c r="V35" i="65"/>
  <c r="L35" i="65"/>
  <c r="N35" i="65" s="1"/>
  <c r="B35" i="65"/>
  <c r="X34" i="65"/>
  <c r="T34" i="65"/>
  <c r="Z34" i="65" s="1"/>
  <c r="P34" i="65"/>
  <c r="N34" i="65"/>
  <c r="L34" i="65"/>
  <c r="H34" i="65"/>
  <c r="D34" i="65"/>
  <c r="B34" i="65"/>
  <c r="X33" i="65"/>
  <c r="Z33" i="65" s="1"/>
  <c r="V33" i="65"/>
  <c r="T33" i="65"/>
  <c r="P33" i="65"/>
  <c r="H33" i="65"/>
  <c r="D33" i="65"/>
  <c r="P31" i="65"/>
  <c r="Z29" i="65"/>
  <c r="X29" i="65"/>
  <c r="V29" i="65"/>
  <c r="N29" i="65"/>
  <c r="L29" i="65"/>
  <c r="B29" i="65"/>
  <c r="Z28" i="65"/>
  <c r="X28" i="65"/>
  <c r="N28" i="65"/>
  <c r="L28" i="65"/>
  <c r="B28" i="65"/>
  <c r="Z27" i="65"/>
  <c r="X27" i="65"/>
  <c r="V27" i="65"/>
  <c r="N27" i="65"/>
  <c r="L27" i="65"/>
  <c r="B27" i="65"/>
  <c r="Z26" i="65"/>
  <c r="X26" i="65"/>
  <c r="V26" i="65"/>
  <c r="N26" i="65"/>
  <c r="L26" i="65"/>
  <c r="J26" i="65"/>
  <c r="B26" i="65"/>
  <c r="Z25" i="65"/>
  <c r="X25" i="65"/>
  <c r="N25" i="65"/>
  <c r="L25" i="65"/>
  <c r="J25" i="65"/>
  <c r="B25" i="65"/>
  <c r="Z24" i="65"/>
  <c r="X24" i="65"/>
  <c r="V24" i="65"/>
  <c r="N24" i="65"/>
  <c r="L24" i="65"/>
  <c r="B24" i="65"/>
  <c r="Z23" i="65"/>
  <c r="X23" i="65"/>
  <c r="V23" i="65"/>
  <c r="R23" i="65"/>
  <c r="N23" i="65"/>
  <c r="L23" i="65"/>
  <c r="J23" i="65"/>
  <c r="B23" i="65"/>
  <c r="Z22" i="65"/>
  <c r="X22" i="65"/>
  <c r="V22" i="65"/>
  <c r="N22" i="65"/>
  <c r="L22" i="65"/>
  <c r="B22" i="65"/>
  <c r="Z21" i="65"/>
  <c r="X21" i="65"/>
  <c r="V21" i="65"/>
  <c r="N21" i="65"/>
  <c r="L21" i="65"/>
  <c r="B21" i="65"/>
  <c r="Z20" i="65"/>
  <c r="X20" i="65"/>
  <c r="N20" i="65"/>
  <c r="L20" i="65"/>
  <c r="B20" i="65"/>
  <c r="V19" i="65"/>
  <c r="T19" i="65"/>
  <c r="T31" i="65" s="1"/>
  <c r="P19" i="65"/>
  <c r="X19" i="65" s="1"/>
  <c r="Z19" i="65" s="1"/>
  <c r="L19" i="65"/>
  <c r="N19" i="65" s="1"/>
  <c r="J19" i="65"/>
  <c r="H19" i="65"/>
  <c r="D19" i="65"/>
  <c r="Z17" i="65"/>
  <c r="X17" i="65"/>
  <c r="P17" i="65"/>
  <c r="N17" i="65"/>
  <c r="L17" i="65"/>
  <c r="D17" i="65"/>
  <c r="B17" i="65"/>
  <c r="Z16" i="65"/>
  <c r="P16" i="65"/>
  <c r="X16" i="65" s="1"/>
  <c r="N16" i="65"/>
  <c r="L16" i="65"/>
  <c r="D16" i="65"/>
  <c r="B16" i="65"/>
  <c r="Z15" i="65"/>
  <c r="X15" i="65"/>
  <c r="P15" i="65"/>
  <c r="N15" i="65"/>
  <c r="D15" i="65"/>
  <c r="B15" i="65"/>
  <c r="Z14" i="65"/>
  <c r="X14" i="65"/>
  <c r="P14" i="65"/>
  <c r="N14" i="65"/>
  <c r="L14" i="65"/>
  <c r="D14" i="65"/>
  <c r="B14" i="65"/>
  <c r="P13" i="65"/>
  <c r="X13" i="65" s="1"/>
  <c r="Z13" i="65" s="1"/>
  <c r="D13" i="65"/>
  <c r="L13" i="65" s="1"/>
  <c r="N13" i="65" s="1"/>
  <c r="B13" i="65"/>
  <c r="Z12" i="65"/>
  <c r="X12" i="65"/>
  <c r="T12" i="65"/>
  <c r="V85" i="65" s="1"/>
  <c r="P12" i="65"/>
  <c r="R84" i="65" s="1"/>
  <c r="H12" i="65"/>
  <c r="D6" i="65"/>
  <c r="D4" i="65"/>
  <c r="V41" i="64"/>
  <c r="Z39" i="64"/>
  <c r="X39" i="64"/>
  <c r="N39" i="64"/>
  <c r="L39" i="64"/>
  <c r="J39" i="64"/>
  <c r="V35" i="64"/>
  <c r="T35" i="64"/>
  <c r="Z35" i="64" s="1"/>
  <c r="P35" i="64"/>
  <c r="X35" i="64" s="1"/>
  <c r="N35" i="64"/>
  <c r="H35" i="64"/>
  <c r="F35" i="64"/>
  <c r="D35" i="64"/>
  <c r="L35" i="64" s="1"/>
  <c r="Z33" i="64"/>
  <c r="X33" i="64"/>
  <c r="N33" i="64"/>
  <c r="L33" i="64"/>
  <c r="J33" i="64"/>
  <c r="B33" i="64"/>
  <c r="Z32" i="64"/>
  <c r="T32" i="64"/>
  <c r="P32" i="64"/>
  <c r="X32" i="64" s="1"/>
  <c r="N32" i="64"/>
  <c r="J32" i="64"/>
  <c r="H32" i="64"/>
  <c r="D32" i="64"/>
  <c r="L32" i="64" s="1"/>
  <c r="B32" i="64"/>
  <c r="Z31" i="64"/>
  <c r="X31" i="64"/>
  <c r="R31" i="64"/>
  <c r="N31" i="64"/>
  <c r="L31" i="64"/>
  <c r="B31" i="64"/>
  <c r="Z30" i="64"/>
  <c r="T30" i="64"/>
  <c r="P30" i="64"/>
  <c r="X30" i="64" s="1"/>
  <c r="N30" i="64"/>
  <c r="L30" i="64"/>
  <c r="J30" i="64"/>
  <c r="H30" i="64"/>
  <c r="D30" i="64"/>
  <c r="B30" i="64"/>
  <c r="Z29" i="64"/>
  <c r="X29" i="64"/>
  <c r="V29" i="64"/>
  <c r="R29" i="64"/>
  <c r="N29" i="64"/>
  <c r="L29" i="64"/>
  <c r="B29" i="64"/>
  <c r="Z28" i="64"/>
  <c r="X28" i="64"/>
  <c r="N28" i="64"/>
  <c r="L28" i="64"/>
  <c r="B28" i="64"/>
  <c r="Z27" i="64"/>
  <c r="X27" i="64"/>
  <c r="T27" i="64"/>
  <c r="P27" i="64"/>
  <c r="J27" i="64"/>
  <c r="H27" i="64"/>
  <c r="N27" i="64" s="1"/>
  <c r="D27" i="64"/>
  <c r="L27" i="64" s="1"/>
  <c r="B27" i="64"/>
  <c r="Z26" i="64"/>
  <c r="X26" i="64"/>
  <c r="R26" i="64"/>
  <c r="N26" i="64"/>
  <c r="L26" i="64"/>
  <c r="J26" i="64"/>
  <c r="B26" i="64"/>
  <c r="V25" i="64"/>
  <c r="T25" i="64"/>
  <c r="Z25" i="64" s="1"/>
  <c r="P25" i="64"/>
  <c r="X25" i="64" s="1"/>
  <c r="N25" i="64"/>
  <c r="H25" i="64"/>
  <c r="D25" i="64"/>
  <c r="L25" i="64" s="1"/>
  <c r="B25" i="64"/>
  <c r="Z24" i="64"/>
  <c r="X24" i="64"/>
  <c r="N24" i="64"/>
  <c r="L24" i="64"/>
  <c r="J24" i="64"/>
  <c r="B24" i="64"/>
  <c r="Z23" i="64"/>
  <c r="T23" i="64"/>
  <c r="R23" i="64"/>
  <c r="P23" i="64"/>
  <c r="X23" i="64" s="1"/>
  <c r="L23" i="64"/>
  <c r="H23" i="64"/>
  <c r="N23" i="64" s="1"/>
  <c r="D23" i="64"/>
  <c r="B23" i="64"/>
  <c r="Z22" i="64"/>
  <c r="X22" i="64"/>
  <c r="N22" i="64"/>
  <c r="L22" i="64"/>
  <c r="B22" i="64"/>
  <c r="X21" i="64"/>
  <c r="T21" i="64"/>
  <c r="Z21" i="64" s="1"/>
  <c r="P21" i="64"/>
  <c r="N21" i="64"/>
  <c r="L21" i="64"/>
  <c r="H21" i="64"/>
  <c r="D21" i="64"/>
  <c r="B21" i="64"/>
  <c r="X20" i="64"/>
  <c r="Z20" i="64" s="1"/>
  <c r="V20" i="64"/>
  <c r="N20" i="64"/>
  <c r="L20" i="64"/>
  <c r="B20" i="64"/>
  <c r="Z19" i="64"/>
  <c r="X19" i="64"/>
  <c r="T19" i="64"/>
  <c r="P19" i="64"/>
  <c r="J19" i="64"/>
  <c r="H19" i="64"/>
  <c r="N19" i="64" s="1"/>
  <c r="D19" i="64"/>
  <c r="L19" i="64" s="1"/>
  <c r="B19" i="64"/>
  <c r="T18" i="64"/>
  <c r="R18" i="64"/>
  <c r="P18" i="64"/>
  <c r="H18" i="64"/>
  <c r="D18" i="64"/>
  <c r="L18" i="64" s="1"/>
  <c r="N18" i="64" s="1"/>
  <c r="J16" i="64"/>
  <c r="T14" i="64"/>
  <c r="R14" i="64"/>
  <c r="P14" i="64"/>
  <c r="N14" i="64"/>
  <c r="H14" i="64"/>
  <c r="D14" i="64"/>
  <c r="L14" i="64" s="1"/>
  <c r="Z12" i="64"/>
  <c r="T12" i="64"/>
  <c r="V28" i="64" s="1"/>
  <c r="P12" i="64"/>
  <c r="R41" i="64" s="1"/>
  <c r="H12" i="64"/>
  <c r="J44" i="64" s="1"/>
  <c r="D12" i="64"/>
  <c r="D6" i="64"/>
  <c r="D4" i="64"/>
  <c r="Z86" i="63"/>
  <c r="X86" i="63"/>
  <c r="L86" i="63"/>
  <c r="N86" i="63" s="1"/>
  <c r="P84" i="63"/>
  <c r="Z82" i="63"/>
  <c r="X82" i="63"/>
  <c r="T82" i="63"/>
  <c r="P82" i="63"/>
  <c r="H82" i="63"/>
  <c r="D82" i="63"/>
  <c r="Z80" i="63"/>
  <c r="X80" i="63"/>
  <c r="L80" i="63"/>
  <c r="N80" i="63" s="1"/>
  <c r="J80" i="63"/>
  <c r="B80" i="63"/>
  <c r="T79" i="63"/>
  <c r="R79" i="63"/>
  <c r="P79" i="63"/>
  <c r="X79" i="63" s="1"/>
  <c r="Z79" i="63" s="1"/>
  <c r="L79" i="63"/>
  <c r="N79" i="63" s="1"/>
  <c r="H79" i="63"/>
  <c r="D79" i="63"/>
  <c r="B79" i="63"/>
  <c r="Z78" i="63"/>
  <c r="X78" i="63"/>
  <c r="L78" i="63"/>
  <c r="N78" i="63" s="1"/>
  <c r="B78" i="63"/>
  <c r="X77" i="63"/>
  <c r="Z77" i="63" s="1"/>
  <c r="N77" i="63"/>
  <c r="L77" i="63"/>
  <c r="J77" i="63"/>
  <c r="B77" i="63"/>
  <c r="Z76" i="63"/>
  <c r="X76" i="63"/>
  <c r="L76" i="63"/>
  <c r="N76" i="63" s="1"/>
  <c r="J76" i="63"/>
  <c r="B76" i="63"/>
  <c r="Z75" i="63"/>
  <c r="X75" i="63"/>
  <c r="N75" i="63"/>
  <c r="L75" i="63"/>
  <c r="B75" i="63"/>
  <c r="T74" i="63"/>
  <c r="R74" i="63"/>
  <c r="P74" i="63"/>
  <c r="H74" i="63"/>
  <c r="D74" i="63"/>
  <c r="L74" i="63" s="1"/>
  <c r="N74" i="63" s="1"/>
  <c r="B74" i="63"/>
  <c r="Z73" i="63"/>
  <c r="X73" i="63"/>
  <c r="N73" i="63"/>
  <c r="L73" i="63"/>
  <c r="J73" i="63"/>
  <c r="B73" i="63"/>
  <c r="Z72" i="63"/>
  <c r="X72" i="63"/>
  <c r="N72" i="63"/>
  <c r="L72" i="63"/>
  <c r="J72" i="63"/>
  <c r="B72" i="63"/>
  <c r="Z71" i="63"/>
  <c r="T71" i="63"/>
  <c r="R71" i="63"/>
  <c r="P71" i="63"/>
  <c r="X71" i="63" s="1"/>
  <c r="N71" i="63"/>
  <c r="L71" i="63"/>
  <c r="H71" i="63"/>
  <c r="D71" i="63"/>
  <c r="B71" i="63"/>
  <c r="Z70" i="63"/>
  <c r="X70" i="63"/>
  <c r="N70" i="63"/>
  <c r="L70" i="63"/>
  <c r="B70" i="63"/>
  <c r="Z69" i="63"/>
  <c r="X69" i="63"/>
  <c r="N69" i="63"/>
  <c r="L69" i="63"/>
  <c r="J69" i="63"/>
  <c r="B69" i="63"/>
  <c r="Z68" i="63"/>
  <c r="T68" i="63"/>
  <c r="P68" i="63"/>
  <c r="X68" i="63" s="1"/>
  <c r="N68" i="63"/>
  <c r="J68" i="63"/>
  <c r="H68" i="63"/>
  <c r="D68" i="63"/>
  <c r="L68" i="63" s="1"/>
  <c r="B68" i="63"/>
  <c r="Z67" i="63"/>
  <c r="X67" i="63"/>
  <c r="R67" i="63"/>
  <c r="N67" i="63"/>
  <c r="L67" i="63"/>
  <c r="B67" i="63"/>
  <c r="T66" i="63"/>
  <c r="P66" i="63"/>
  <c r="X66" i="63" s="1"/>
  <c r="Z66" i="63" s="1"/>
  <c r="L66" i="63"/>
  <c r="N66" i="63" s="1"/>
  <c r="J66" i="63"/>
  <c r="H66" i="63"/>
  <c r="D66" i="63"/>
  <c r="B66" i="63"/>
  <c r="Z65" i="63"/>
  <c r="X65" i="63"/>
  <c r="V65" i="63"/>
  <c r="R65" i="63"/>
  <c r="N65" i="63"/>
  <c r="L65" i="63"/>
  <c r="B65" i="63"/>
  <c r="Z64" i="63"/>
  <c r="X64" i="63"/>
  <c r="T64" i="63"/>
  <c r="R64" i="63"/>
  <c r="P64" i="63"/>
  <c r="H64" i="63"/>
  <c r="D64" i="63"/>
  <c r="B64" i="63"/>
  <c r="Z63" i="63"/>
  <c r="X63" i="63"/>
  <c r="N63" i="63"/>
  <c r="L63" i="63"/>
  <c r="B63" i="63"/>
  <c r="T62" i="63"/>
  <c r="R62" i="63"/>
  <c r="P62" i="63"/>
  <c r="N62" i="63"/>
  <c r="H62" i="63"/>
  <c r="D62" i="63"/>
  <c r="L62" i="63" s="1"/>
  <c r="B62" i="63"/>
  <c r="Z61" i="63"/>
  <c r="X61" i="63"/>
  <c r="N61" i="63"/>
  <c r="L61" i="63"/>
  <c r="J61" i="63"/>
  <c r="B61" i="63"/>
  <c r="Z60" i="63"/>
  <c r="X60" i="63"/>
  <c r="N60" i="63"/>
  <c r="L60" i="63"/>
  <c r="J60" i="63"/>
  <c r="B60" i="63"/>
  <c r="Z59" i="63"/>
  <c r="T59" i="63"/>
  <c r="R59" i="63"/>
  <c r="P59" i="63"/>
  <c r="X59" i="63" s="1"/>
  <c r="N59" i="63"/>
  <c r="L59" i="63"/>
  <c r="H59" i="63"/>
  <c r="D59" i="63"/>
  <c r="B59" i="63"/>
  <c r="Z58" i="63"/>
  <c r="X58" i="63"/>
  <c r="L58" i="63"/>
  <c r="N58" i="63" s="1"/>
  <c r="B58" i="63"/>
  <c r="X57" i="63"/>
  <c r="Z57" i="63" s="1"/>
  <c r="T57" i="63"/>
  <c r="P57" i="63"/>
  <c r="N57" i="63"/>
  <c r="L57" i="63"/>
  <c r="H57" i="63"/>
  <c r="D57" i="63"/>
  <c r="B57" i="63"/>
  <c r="X56" i="63"/>
  <c r="Z56" i="63" s="1"/>
  <c r="N56" i="63"/>
  <c r="L56" i="63"/>
  <c r="B56" i="63"/>
  <c r="Z55" i="63"/>
  <c r="X55" i="63"/>
  <c r="T55" i="63"/>
  <c r="P55" i="63"/>
  <c r="J55" i="63"/>
  <c r="H55" i="63"/>
  <c r="N55" i="63" s="1"/>
  <c r="D55" i="63"/>
  <c r="L55" i="63" s="1"/>
  <c r="B55" i="63"/>
  <c r="X54" i="63"/>
  <c r="Z54" i="63" s="1"/>
  <c r="R54" i="63"/>
  <c r="N54" i="63"/>
  <c r="L54" i="63"/>
  <c r="J54" i="63"/>
  <c r="B54" i="63"/>
  <c r="T53" i="63"/>
  <c r="Z53" i="63" s="1"/>
  <c r="P53" i="63"/>
  <c r="X53" i="63" s="1"/>
  <c r="H53" i="63"/>
  <c r="D53" i="63"/>
  <c r="L53" i="63" s="1"/>
  <c r="N53" i="63" s="1"/>
  <c r="B53" i="63"/>
  <c r="Z52" i="63"/>
  <c r="X52" i="63"/>
  <c r="N52" i="63"/>
  <c r="L52" i="63"/>
  <c r="J52" i="63"/>
  <c r="B52" i="63"/>
  <c r="Z51" i="63"/>
  <c r="X51" i="63"/>
  <c r="N51" i="63"/>
  <c r="L51" i="63"/>
  <c r="B51" i="63"/>
  <c r="X50" i="63"/>
  <c r="Z50" i="63" s="1"/>
  <c r="R50" i="63"/>
  <c r="N50" i="63"/>
  <c r="L50" i="63"/>
  <c r="J50" i="63"/>
  <c r="B50" i="63"/>
  <c r="X49" i="63"/>
  <c r="Z49" i="63" s="1"/>
  <c r="V49" i="63"/>
  <c r="R49" i="63"/>
  <c r="N49" i="63"/>
  <c r="L49" i="63"/>
  <c r="B49" i="63"/>
  <c r="Z48" i="63"/>
  <c r="X48" i="63"/>
  <c r="N48" i="63"/>
  <c r="L48" i="63"/>
  <c r="B48" i="63"/>
  <c r="Z47" i="63"/>
  <c r="X47" i="63"/>
  <c r="R47" i="63"/>
  <c r="N47" i="63"/>
  <c r="L47" i="63"/>
  <c r="B47" i="63"/>
  <c r="Z46" i="63"/>
  <c r="X46" i="63"/>
  <c r="L46" i="63"/>
  <c r="N46" i="63" s="1"/>
  <c r="B46" i="63"/>
  <c r="Z45" i="63"/>
  <c r="X45" i="63"/>
  <c r="N45" i="63"/>
  <c r="L45" i="63"/>
  <c r="J45" i="63"/>
  <c r="B45" i="63"/>
  <c r="Z44" i="63"/>
  <c r="X44" i="63"/>
  <c r="N44" i="63"/>
  <c r="L44" i="63"/>
  <c r="J44" i="63"/>
  <c r="B44" i="63"/>
  <c r="Z43" i="63"/>
  <c r="X43" i="63"/>
  <c r="N43" i="63"/>
  <c r="L43" i="63"/>
  <c r="B43" i="63"/>
  <c r="T42" i="63"/>
  <c r="R42" i="63"/>
  <c r="P42" i="63"/>
  <c r="H42" i="63"/>
  <c r="D42" i="63"/>
  <c r="L42" i="63" s="1"/>
  <c r="N42" i="63" s="1"/>
  <c r="B42" i="63"/>
  <c r="X41" i="63"/>
  <c r="Z41" i="63" s="1"/>
  <c r="N41" i="63"/>
  <c r="L41" i="63"/>
  <c r="J41" i="63"/>
  <c r="B41" i="63"/>
  <c r="Z40" i="63"/>
  <c r="X40" i="63"/>
  <c r="N40" i="63"/>
  <c r="L40" i="63"/>
  <c r="J40" i="63"/>
  <c r="B40" i="63"/>
  <c r="Z39" i="63"/>
  <c r="X39" i="63"/>
  <c r="N39" i="63"/>
  <c r="L39" i="63"/>
  <c r="B39" i="63"/>
  <c r="Z38" i="63"/>
  <c r="X38" i="63"/>
  <c r="R38" i="63"/>
  <c r="N38" i="63"/>
  <c r="L38" i="63"/>
  <c r="J38" i="63"/>
  <c r="B38" i="63"/>
  <c r="Z37" i="63"/>
  <c r="X37" i="63"/>
  <c r="V37" i="63"/>
  <c r="R37" i="63"/>
  <c r="L37" i="63"/>
  <c r="N37" i="63" s="1"/>
  <c r="B37" i="63"/>
  <c r="Z36" i="63"/>
  <c r="X36" i="63"/>
  <c r="V36" i="63"/>
  <c r="N36" i="63"/>
  <c r="L36" i="63"/>
  <c r="B36" i="63"/>
  <c r="Z35" i="63"/>
  <c r="X35" i="63"/>
  <c r="R35" i="63"/>
  <c r="N35" i="63"/>
  <c r="L35" i="63"/>
  <c r="B35" i="63"/>
  <c r="Z34" i="63"/>
  <c r="X34" i="63"/>
  <c r="V34" i="63"/>
  <c r="L34" i="63"/>
  <c r="N34" i="63" s="1"/>
  <c r="B34" i="63"/>
  <c r="X33" i="63"/>
  <c r="Z33" i="63" s="1"/>
  <c r="T33" i="63"/>
  <c r="P33" i="63"/>
  <c r="L33" i="63"/>
  <c r="H33" i="63"/>
  <c r="N33" i="63" s="1"/>
  <c r="D33" i="63"/>
  <c r="B33" i="63"/>
  <c r="X32" i="63"/>
  <c r="Z32" i="63" s="1"/>
  <c r="T32" i="63"/>
  <c r="R32" i="63"/>
  <c r="P32" i="63"/>
  <c r="H32" i="63"/>
  <c r="D32" i="63"/>
  <c r="P30" i="63"/>
  <c r="Z28" i="63"/>
  <c r="X28" i="63"/>
  <c r="V28" i="63"/>
  <c r="N28" i="63"/>
  <c r="L28" i="63"/>
  <c r="B28" i="63"/>
  <c r="Z27" i="63"/>
  <c r="X27" i="63"/>
  <c r="R27" i="63"/>
  <c r="N27" i="63"/>
  <c r="L27" i="63"/>
  <c r="B27" i="63"/>
  <c r="Z26" i="63"/>
  <c r="X26" i="63"/>
  <c r="V26" i="63"/>
  <c r="N26" i="63"/>
  <c r="L26" i="63"/>
  <c r="B26" i="63"/>
  <c r="Z25" i="63"/>
  <c r="X25" i="63"/>
  <c r="N25" i="63"/>
  <c r="L25" i="63"/>
  <c r="J25" i="63"/>
  <c r="B25" i="63"/>
  <c r="Z24" i="63"/>
  <c r="X24" i="63"/>
  <c r="N24" i="63"/>
  <c r="L24" i="63"/>
  <c r="J24" i="63"/>
  <c r="B24" i="63"/>
  <c r="Z23" i="63"/>
  <c r="X23" i="63"/>
  <c r="N23" i="63"/>
  <c r="L23" i="63"/>
  <c r="B23" i="63"/>
  <c r="Z22" i="63"/>
  <c r="X22" i="63"/>
  <c r="R22" i="63"/>
  <c r="N22" i="63"/>
  <c r="L22" i="63"/>
  <c r="J22" i="63"/>
  <c r="B22" i="63"/>
  <c r="Z21" i="63"/>
  <c r="X21" i="63"/>
  <c r="R21" i="63"/>
  <c r="N21" i="63"/>
  <c r="L21" i="63"/>
  <c r="B21" i="63"/>
  <c r="Z20" i="63"/>
  <c r="X20" i="63"/>
  <c r="V20" i="63"/>
  <c r="N20" i="63"/>
  <c r="L20" i="63"/>
  <c r="B20" i="63"/>
  <c r="Z19" i="63"/>
  <c r="X19" i="63"/>
  <c r="R19" i="63"/>
  <c r="N19" i="63"/>
  <c r="L19" i="63"/>
  <c r="B19" i="63"/>
  <c r="Z18" i="63"/>
  <c r="V18" i="63"/>
  <c r="T18" i="63"/>
  <c r="P18" i="63"/>
  <c r="X18" i="63" s="1"/>
  <c r="L18" i="63"/>
  <c r="N18" i="63" s="1"/>
  <c r="J18" i="63"/>
  <c r="H18" i="63"/>
  <c r="D18" i="63"/>
  <c r="Z16" i="63"/>
  <c r="P16" i="63"/>
  <c r="X16" i="63" s="1"/>
  <c r="N16" i="63"/>
  <c r="L16" i="63"/>
  <c r="D16" i="63"/>
  <c r="B16" i="63"/>
  <c r="Z15" i="63"/>
  <c r="P15" i="63"/>
  <c r="X15" i="63" s="1"/>
  <c r="N15" i="63"/>
  <c r="L15" i="63"/>
  <c r="D15" i="63"/>
  <c r="B15" i="63"/>
  <c r="Z14" i="63"/>
  <c r="X14" i="63"/>
  <c r="P14" i="63"/>
  <c r="D14" i="63"/>
  <c r="L14" i="63" s="1"/>
  <c r="N14" i="63" s="1"/>
  <c r="B14" i="63"/>
  <c r="X13" i="63"/>
  <c r="Z13" i="63" s="1"/>
  <c r="P13" i="63"/>
  <c r="D13" i="63"/>
  <c r="L13" i="63" s="1"/>
  <c r="N13" i="63" s="1"/>
  <c r="B13" i="63"/>
  <c r="T12" i="63"/>
  <c r="P12" i="63"/>
  <c r="R56" i="63" s="1"/>
  <c r="H12" i="63"/>
  <c r="J86" i="63" s="1"/>
  <c r="D6" i="63"/>
  <c r="D4" i="63"/>
  <c r="Z103" i="62"/>
  <c r="X103" i="62"/>
  <c r="N103" i="62"/>
  <c r="L103" i="62"/>
  <c r="P99" i="62"/>
  <c r="X99" i="62" s="1"/>
  <c r="Z99" i="62" s="1"/>
  <c r="N99" i="62"/>
  <c r="D99" i="62"/>
  <c r="L99" i="62" s="1"/>
  <c r="B99" i="62"/>
  <c r="X98" i="62"/>
  <c r="Z98" i="62" s="1"/>
  <c r="P98" i="62"/>
  <c r="D98" i="62"/>
  <c r="L98" i="62" s="1"/>
  <c r="N98" i="62" s="1"/>
  <c r="B98" i="62"/>
  <c r="T97" i="62"/>
  <c r="R97" i="62"/>
  <c r="H97" i="62"/>
  <c r="Z95" i="62"/>
  <c r="X95" i="62"/>
  <c r="L95" i="62"/>
  <c r="N95" i="62" s="1"/>
  <c r="F95" i="62"/>
  <c r="B95" i="62"/>
  <c r="X94" i="62"/>
  <c r="Z94" i="62" s="1"/>
  <c r="T94" i="62"/>
  <c r="P94" i="62"/>
  <c r="N94" i="62"/>
  <c r="L94" i="62"/>
  <c r="H94" i="62"/>
  <c r="D94" i="62"/>
  <c r="B94" i="62"/>
  <c r="Z93" i="62"/>
  <c r="X93" i="62"/>
  <c r="N93" i="62"/>
  <c r="L93" i="62"/>
  <c r="B93" i="62"/>
  <c r="Z92" i="62"/>
  <c r="X92" i="62"/>
  <c r="N92" i="62"/>
  <c r="L92" i="62"/>
  <c r="B92" i="62"/>
  <c r="Z91" i="62"/>
  <c r="T91" i="62"/>
  <c r="P91" i="62"/>
  <c r="X91" i="62" s="1"/>
  <c r="L91" i="62"/>
  <c r="N91" i="62" s="1"/>
  <c r="H91" i="62"/>
  <c r="D91" i="62"/>
  <c r="B91" i="62"/>
  <c r="Z90" i="62"/>
  <c r="X90" i="62"/>
  <c r="N90" i="62"/>
  <c r="L90" i="62"/>
  <c r="B90" i="62"/>
  <c r="Z89" i="62"/>
  <c r="X89" i="62"/>
  <c r="T89" i="62"/>
  <c r="P89" i="62"/>
  <c r="H89" i="62"/>
  <c r="D89" i="62"/>
  <c r="B89" i="62"/>
  <c r="Z88" i="62"/>
  <c r="X88" i="62"/>
  <c r="L88" i="62"/>
  <c r="N88" i="62" s="1"/>
  <c r="B88" i="62"/>
  <c r="T87" i="62"/>
  <c r="R87" i="62"/>
  <c r="P87" i="62"/>
  <c r="N87" i="62"/>
  <c r="H87" i="62"/>
  <c r="D87" i="62"/>
  <c r="L87" i="62" s="1"/>
  <c r="B87" i="62"/>
  <c r="X86" i="62"/>
  <c r="Z86" i="62" s="1"/>
  <c r="N86" i="62"/>
  <c r="L86" i="62"/>
  <c r="B86" i="62"/>
  <c r="Z85" i="62"/>
  <c r="X85" i="62"/>
  <c r="N85" i="62"/>
  <c r="L85" i="62"/>
  <c r="J85" i="62"/>
  <c r="B85" i="62"/>
  <c r="Z84" i="62"/>
  <c r="X84" i="62"/>
  <c r="L84" i="62"/>
  <c r="N84" i="62" s="1"/>
  <c r="B84" i="62"/>
  <c r="Z83" i="62"/>
  <c r="X83" i="62"/>
  <c r="N83" i="62"/>
  <c r="L83" i="62"/>
  <c r="B83" i="62"/>
  <c r="Z82" i="62"/>
  <c r="X82" i="62"/>
  <c r="L82" i="62"/>
  <c r="N82" i="62" s="1"/>
  <c r="B82" i="62"/>
  <c r="X81" i="62"/>
  <c r="Z81" i="62" s="1"/>
  <c r="N81" i="62"/>
  <c r="L81" i="62"/>
  <c r="B81" i="62"/>
  <c r="T80" i="62"/>
  <c r="P80" i="62"/>
  <c r="H80" i="62"/>
  <c r="D80" i="62"/>
  <c r="L80" i="62" s="1"/>
  <c r="B80" i="62"/>
  <c r="X79" i="62"/>
  <c r="Z79" i="62" s="1"/>
  <c r="N79" i="62"/>
  <c r="L79" i="62"/>
  <c r="B79" i="62"/>
  <c r="V78" i="62"/>
  <c r="T78" i="62"/>
  <c r="P78" i="62"/>
  <c r="X78" i="62" s="1"/>
  <c r="H78" i="62"/>
  <c r="D78" i="62"/>
  <c r="L78" i="62" s="1"/>
  <c r="N78" i="62" s="1"/>
  <c r="B78" i="62"/>
  <c r="Z77" i="62"/>
  <c r="X77" i="62"/>
  <c r="N77" i="62"/>
  <c r="L77" i="62"/>
  <c r="B77" i="62"/>
  <c r="Z76" i="62"/>
  <c r="X76" i="62"/>
  <c r="L76" i="62"/>
  <c r="N76" i="62" s="1"/>
  <c r="B76" i="62"/>
  <c r="T75" i="62"/>
  <c r="P75" i="62"/>
  <c r="H75" i="62"/>
  <c r="D75" i="62"/>
  <c r="L75" i="62" s="1"/>
  <c r="N75" i="62" s="1"/>
  <c r="B75" i="62"/>
  <c r="Z74" i="62"/>
  <c r="X74" i="62"/>
  <c r="N74" i="62"/>
  <c r="L74" i="62"/>
  <c r="B74" i="62"/>
  <c r="Z73" i="62"/>
  <c r="X73" i="62"/>
  <c r="L73" i="62"/>
  <c r="N73" i="62" s="1"/>
  <c r="B73" i="62"/>
  <c r="Z72" i="62"/>
  <c r="X72" i="62"/>
  <c r="N72" i="62"/>
  <c r="L72" i="62"/>
  <c r="B72" i="62"/>
  <c r="X71" i="62"/>
  <c r="Z71" i="62" s="1"/>
  <c r="N71" i="62"/>
  <c r="L71" i="62"/>
  <c r="J71" i="62"/>
  <c r="B71" i="62"/>
  <c r="T70" i="62"/>
  <c r="P70" i="62"/>
  <c r="X70" i="62" s="1"/>
  <c r="N70" i="62"/>
  <c r="H70" i="62"/>
  <c r="F70" i="62"/>
  <c r="D70" i="62"/>
  <c r="L70" i="62" s="1"/>
  <c r="B70" i="62"/>
  <c r="X69" i="62"/>
  <c r="Z69" i="62" s="1"/>
  <c r="L69" i="62"/>
  <c r="N69" i="62" s="1"/>
  <c r="B69" i="62"/>
  <c r="Z68" i="62"/>
  <c r="T68" i="62"/>
  <c r="P68" i="62"/>
  <c r="X68" i="62" s="1"/>
  <c r="L68" i="62"/>
  <c r="N68" i="62" s="1"/>
  <c r="H68" i="62"/>
  <c r="D68" i="62"/>
  <c r="B68" i="62"/>
  <c r="Z67" i="62"/>
  <c r="X67" i="62"/>
  <c r="N67" i="62"/>
  <c r="L67" i="62"/>
  <c r="B67" i="62"/>
  <c r="Z66" i="62"/>
  <c r="X66" i="62"/>
  <c r="T66" i="62"/>
  <c r="P66" i="62"/>
  <c r="H66" i="62"/>
  <c r="D66" i="62"/>
  <c r="B66" i="62"/>
  <c r="X65" i="62"/>
  <c r="Z65" i="62" s="1"/>
  <c r="L65" i="62"/>
  <c r="N65" i="62" s="1"/>
  <c r="B65" i="62"/>
  <c r="X64" i="62"/>
  <c r="Z64" i="62" s="1"/>
  <c r="T64" i="62"/>
  <c r="P64" i="62"/>
  <c r="H64" i="62"/>
  <c r="D64" i="62"/>
  <c r="B64" i="62"/>
  <c r="X63" i="62"/>
  <c r="Z63" i="62" s="1"/>
  <c r="R63" i="62"/>
  <c r="N63" i="62"/>
  <c r="L63" i="62"/>
  <c r="J63" i="62"/>
  <c r="B63" i="62"/>
  <c r="T62" i="62"/>
  <c r="P62" i="62"/>
  <c r="X62" i="62" s="1"/>
  <c r="H62" i="62"/>
  <c r="D62" i="62"/>
  <c r="B62" i="62"/>
  <c r="X61" i="62"/>
  <c r="Z61" i="62" s="1"/>
  <c r="N61" i="62"/>
  <c r="L61" i="62"/>
  <c r="J61" i="62"/>
  <c r="B61" i="62"/>
  <c r="T60" i="62"/>
  <c r="P60" i="62"/>
  <c r="X60" i="62" s="1"/>
  <c r="Z60" i="62" s="1"/>
  <c r="H60" i="62"/>
  <c r="D60" i="62"/>
  <c r="L60" i="62" s="1"/>
  <c r="N60" i="62" s="1"/>
  <c r="B60" i="62"/>
  <c r="Z59" i="62"/>
  <c r="X59" i="62"/>
  <c r="L59" i="62"/>
  <c r="N59" i="62" s="1"/>
  <c r="B59" i="62"/>
  <c r="T58" i="62"/>
  <c r="P58" i="62"/>
  <c r="X58" i="62" s="1"/>
  <c r="Z58" i="62" s="1"/>
  <c r="L58" i="62"/>
  <c r="N58" i="62" s="1"/>
  <c r="H58" i="62"/>
  <c r="D58" i="62"/>
  <c r="B58" i="62"/>
  <c r="X57" i="62"/>
  <c r="Z57" i="62" s="1"/>
  <c r="N57" i="62"/>
  <c r="L57" i="62"/>
  <c r="B57" i="62"/>
  <c r="T56" i="62"/>
  <c r="P56" i="62"/>
  <c r="L56" i="62"/>
  <c r="H56" i="62"/>
  <c r="N56" i="62" s="1"/>
  <c r="D56" i="62"/>
  <c r="B56" i="62"/>
  <c r="X55" i="62"/>
  <c r="Z55" i="62" s="1"/>
  <c r="N55" i="62"/>
  <c r="L55" i="62"/>
  <c r="B55" i="62"/>
  <c r="T54" i="62"/>
  <c r="Z54" i="62" s="1"/>
  <c r="P54" i="62"/>
  <c r="X54" i="62" s="1"/>
  <c r="N54" i="62"/>
  <c r="L54" i="62"/>
  <c r="J54" i="62"/>
  <c r="H54" i="62"/>
  <c r="D54" i="62"/>
  <c r="B54" i="62"/>
  <c r="Z53" i="62"/>
  <c r="X53" i="62"/>
  <c r="R53" i="62"/>
  <c r="N53" i="62"/>
  <c r="L53" i="62"/>
  <c r="B53" i="62"/>
  <c r="Z52" i="62"/>
  <c r="X52" i="62"/>
  <c r="V52" i="62"/>
  <c r="N52" i="62"/>
  <c r="L52" i="62"/>
  <c r="B52" i="62"/>
  <c r="X51" i="62"/>
  <c r="T51" i="62"/>
  <c r="Z51" i="62" s="1"/>
  <c r="P51" i="62"/>
  <c r="H51" i="62"/>
  <c r="N51" i="62" s="1"/>
  <c r="D51" i="62"/>
  <c r="L51" i="62" s="1"/>
  <c r="B51" i="62"/>
  <c r="X50" i="62"/>
  <c r="Z50" i="62" s="1"/>
  <c r="N50" i="62"/>
  <c r="L50" i="62"/>
  <c r="B50" i="62"/>
  <c r="Z49" i="62"/>
  <c r="X49" i="62"/>
  <c r="R49" i="62"/>
  <c r="N49" i="62"/>
  <c r="L49" i="62"/>
  <c r="B49" i="62"/>
  <c r="Z48" i="62"/>
  <c r="X48" i="62"/>
  <c r="V48" i="62"/>
  <c r="T48" i="62"/>
  <c r="R48" i="62"/>
  <c r="P48" i="62"/>
  <c r="L48" i="62"/>
  <c r="N48" i="62" s="1"/>
  <c r="H48" i="62"/>
  <c r="F48" i="62"/>
  <c r="D48" i="62"/>
  <c r="B48" i="62"/>
  <c r="X47" i="62"/>
  <c r="Z47" i="62" s="1"/>
  <c r="L47" i="62"/>
  <c r="N47" i="62" s="1"/>
  <c r="B47" i="62"/>
  <c r="X46" i="62"/>
  <c r="Z46" i="62" s="1"/>
  <c r="T46" i="62"/>
  <c r="R46" i="62"/>
  <c r="P46" i="62"/>
  <c r="H46" i="62"/>
  <c r="D46" i="62"/>
  <c r="L46" i="62" s="1"/>
  <c r="B46" i="62"/>
  <c r="X45" i="62"/>
  <c r="Z45" i="62" s="1"/>
  <c r="R45" i="62"/>
  <c r="N45" i="62"/>
  <c r="L45" i="62"/>
  <c r="F45" i="62"/>
  <c r="B45" i="62"/>
  <c r="T44" i="62"/>
  <c r="R44" i="62"/>
  <c r="P44" i="62"/>
  <c r="X44" i="62" s="1"/>
  <c r="H44" i="62"/>
  <c r="D44" i="62"/>
  <c r="L44" i="62" s="1"/>
  <c r="N44" i="62" s="1"/>
  <c r="B44" i="62"/>
  <c r="Z43" i="62"/>
  <c r="X43" i="62"/>
  <c r="R43" i="62"/>
  <c r="N43" i="62"/>
  <c r="L43" i="62"/>
  <c r="B43" i="62"/>
  <c r="Z42" i="62"/>
  <c r="T42" i="62"/>
  <c r="R42" i="62"/>
  <c r="P42" i="62"/>
  <c r="X42" i="62" s="1"/>
  <c r="N42" i="62"/>
  <c r="L42" i="62"/>
  <c r="J42" i="62"/>
  <c r="H42" i="62"/>
  <c r="D42" i="62"/>
  <c r="B42" i="62"/>
  <c r="Z41" i="62"/>
  <c r="X41" i="62"/>
  <c r="R41" i="62"/>
  <c r="N41" i="62"/>
  <c r="L41" i="62"/>
  <c r="B41" i="62"/>
  <c r="Z40" i="62"/>
  <c r="X40" i="62"/>
  <c r="V40" i="62"/>
  <c r="N40" i="62"/>
  <c r="L40" i="62"/>
  <c r="F40" i="62"/>
  <c r="B40" i="62"/>
  <c r="X39" i="62"/>
  <c r="Z39" i="62" s="1"/>
  <c r="R39" i="62"/>
  <c r="L39" i="62"/>
  <c r="N39" i="62" s="1"/>
  <c r="B39" i="62"/>
  <c r="Z38" i="62"/>
  <c r="X38" i="62"/>
  <c r="N38" i="62"/>
  <c r="L38" i="62"/>
  <c r="B38" i="62"/>
  <c r="Z37" i="62"/>
  <c r="X37" i="62"/>
  <c r="R37" i="62"/>
  <c r="N37" i="62"/>
  <c r="L37" i="62"/>
  <c r="F37" i="62"/>
  <c r="B37" i="62"/>
  <c r="Z36" i="62"/>
  <c r="X36" i="62"/>
  <c r="R36" i="62"/>
  <c r="N36" i="62"/>
  <c r="L36" i="62"/>
  <c r="J36" i="62"/>
  <c r="B36" i="62"/>
  <c r="X35" i="62"/>
  <c r="Z35" i="62" s="1"/>
  <c r="R35" i="62"/>
  <c r="L35" i="62"/>
  <c r="N35" i="62" s="1"/>
  <c r="B35" i="62"/>
  <c r="Z34" i="62"/>
  <c r="X34" i="62"/>
  <c r="R34" i="62"/>
  <c r="N34" i="62"/>
  <c r="L34" i="62"/>
  <c r="B34" i="62"/>
  <c r="Z33" i="62"/>
  <c r="X33" i="62"/>
  <c r="R33" i="62"/>
  <c r="N33" i="62"/>
  <c r="L33" i="62"/>
  <c r="B33" i="62"/>
  <c r="Z32" i="62"/>
  <c r="X32" i="62"/>
  <c r="V32" i="62"/>
  <c r="N32" i="62"/>
  <c r="L32" i="62"/>
  <c r="F32" i="62"/>
  <c r="B32" i="62"/>
  <c r="X31" i="62"/>
  <c r="T31" i="62"/>
  <c r="P31" i="62"/>
  <c r="H31" i="62"/>
  <c r="D31" i="62"/>
  <c r="L31" i="62" s="1"/>
  <c r="B31" i="62"/>
  <c r="Z30" i="62"/>
  <c r="X30" i="62"/>
  <c r="R30" i="62"/>
  <c r="N30" i="62"/>
  <c r="L30" i="62"/>
  <c r="B30" i="62"/>
  <c r="Z29" i="62"/>
  <c r="X29" i="62"/>
  <c r="R29" i="62"/>
  <c r="L29" i="62"/>
  <c r="N29" i="62" s="1"/>
  <c r="F29" i="62"/>
  <c r="B29" i="62"/>
  <c r="Z28" i="62"/>
  <c r="X28" i="62"/>
  <c r="V28" i="62"/>
  <c r="N28" i="62"/>
  <c r="L28" i="62"/>
  <c r="F28" i="62"/>
  <c r="B28" i="62"/>
  <c r="Z27" i="62"/>
  <c r="X27" i="62"/>
  <c r="R27" i="62"/>
  <c r="N27" i="62"/>
  <c r="L27" i="62"/>
  <c r="B27" i="62"/>
  <c r="Z26" i="62"/>
  <c r="X26" i="62"/>
  <c r="N26" i="62"/>
  <c r="L26" i="62"/>
  <c r="B26" i="62"/>
  <c r="X25" i="62"/>
  <c r="Z25" i="62" s="1"/>
  <c r="R25" i="62"/>
  <c r="N25" i="62"/>
  <c r="L25" i="62"/>
  <c r="F25" i="62"/>
  <c r="B25" i="62"/>
  <c r="Z24" i="62"/>
  <c r="X24" i="62"/>
  <c r="R24" i="62"/>
  <c r="N24" i="62"/>
  <c r="L24" i="62"/>
  <c r="J24" i="62"/>
  <c r="B24" i="62"/>
  <c r="X23" i="62"/>
  <c r="Z23" i="62" s="1"/>
  <c r="V23" i="62"/>
  <c r="R23" i="62"/>
  <c r="L23" i="62"/>
  <c r="N23" i="62" s="1"/>
  <c r="F23" i="62"/>
  <c r="B23" i="62"/>
  <c r="X22" i="62"/>
  <c r="Z22" i="62" s="1"/>
  <c r="R22" i="62"/>
  <c r="N22" i="62"/>
  <c r="L22" i="62"/>
  <c r="B22" i="62"/>
  <c r="Z21" i="62"/>
  <c r="X21" i="62"/>
  <c r="R21" i="62"/>
  <c r="L21" i="62"/>
  <c r="N21" i="62" s="1"/>
  <c r="F21" i="62"/>
  <c r="B21" i="62"/>
  <c r="Z20" i="62"/>
  <c r="X20" i="62"/>
  <c r="V20" i="62"/>
  <c r="T20" i="62"/>
  <c r="R20" i="62"/>
  <c r="P20" i="62"/>
  <c r="L20" i="62"/>
  <c r="N20" i="62" s="1"/>
  <c r="H20" i="62"/>
  <c r="F20" i="62"/>
  <c r="D20" i="62"/>
  <c r="B20" i="62"/>
  <c r="V19" i="62"/>
  <c r="T19" i="62"/>
  <c r="R19" i="62"/>
  <c r="P19" i="62"/>
  <c r="X19" i="62" s="1"/>
  <c r="H19" i="62"/>
  <c r="F19" i="62"/>
  <c r="D19" i="62"/>
  <c r="L19" i="62" s="1"/>
  <c r="P17" i="62"/>
  <c r="H17" i="62"/>
  <c r="D17" i="62"/>
  <c r="Z15" i="62"/>
  <c r="X15" i="62"/>
  <c r="V15" i="62"/>
  <c r="R15" i="62"/>
  <c r="N15" i="62"/>
  <c r="L15" i="62"/>
  <c r="F15" i="62"/>
  <c r="B15" i="62"/>
  <c r="Z14" i="62"/>
  <c r="X14" i="62"/>
  <c r="V14" i="62"/>
  <c r="T14" i="62"/>
  <c r="R14" i="62"/>
  <c r="P14" i="62"/>
  <c r="J14" i="62"/>
  <c r="H14" i="62"/>
  <c r="N14" i="62" s="1"/>
  <c r="F14" i="62"/>
  <c r="D14" i="62"/>
  <c r="L14" i="62" s="1"/>
  <c r="Z12" i="62"/>
  <c r="T12" i="62"/>
  <c r="V70" i="62" s="1"/>
  <c r="P12" i="62"/>
  <c r="R75" i="62" s="1"/>
  <c r="N12" i="62"/>
  <c r="H12" i="62"/>
  <c r="J64" i="62" s="1"/>
  <c r="D12" i="62"/>
  <c r="D6" i="62"/>
  <c r="D4" i="62"/>
  <c r="V64" i="61"/>
  <c r="V61" i="61"/>
  <c r="Z59" i="61"/>
  <c r="X59" i="61"/>
  <c r="V59" i="61"/>
  <c r="N59" i="61"/>
  <c r="L59" i="61"/>
  <c r="J59" i="61"/>
  <c r="V57" i="61"/>
  <c r="Z55" i="61"/>
  <c r="X55" i="61"/>
  <c r="V55" i="61"/>
  <c r="T55" i="61"/>
  <c r="P55" i="61"/>
  <c r="N55" i="61"/>
  <c r="L55" i="61"/>
  <c r="H55" i="61"/>
  <c r="D55" i="61"/>
  <c r="Z53" i="61"/>
  <c r="X53" i="61"/>
  <c r="V53" i="61"/>
  <c r="N53" i="61"/>
  <c r="L53" i="61"/>
  <c r="J53" i="61"/>
  <c r="B53" i="61"/>
  <c r="V52" i="61"/>
  <c r="T52" i="61"/>
  <c r="Z52" i="61" s="1"/>
  <c r="P52" i="61"/>
  <c r="X52" i="61" s="1"/>
  <c r="H52" i="61"/>
  <c r="N52" i="61" s="1"/>
  <c r="D52" i="61"/>
  <c r="L52" i="61" s="1"/>
  <c r="B52" i="61"/>
  <c r="Z51" i="61"/>
  <c r="X51" i="61"/>
  <c r="V51" i="61"/>
  <c r="N51" i="61"/>
  <c r="L51" i="61"/>
  <c r="B51" i="61"/>
  <c r="X50" i="61"/>
  <c r="Z50" i="61" s="1"/>
  <c r="L50" i="61"/>
  <c r="N50" i="61" s="1"/>
  <c r="B50" i="61"/>
  <c r="V49" i="61"/>
  <c r="T49" i="61"/>
  <c r="Z49" i="61" s="1"/>
  <c r="P49" i="61"/>
  <c r="X49" i="61" s="1"/>
  <c r="H49" i="61"/>
  <c r="D49" i="61"/>
  <c r="L49" i="61" s="1"/>
  <c r="N49" i="61" s="1"/>
  <c r="B49" i="61"/>
  <c r="X48" i="61"/>
  <c r="Z48" i="61" s="1"/>
  <c r="L48" i="61"/>
  <c r="N48" i="61" s="1"/>
  <c r="B48" i="61"/>
  <c r="V47" i="61"/>
  <c r="T47" i="61"/>
  <c r="P47" i="61"/>
  <c r="X47" i="61" s="1"/>
  <c r="Z47" i="61" s="1"/>
  <c r="N47" i="61"/>
  <c r="L47" i="61"/>
  <c r="J47" i="61"/>
  <c r="H47" i="61"/>
  <c r="D47" i="61"/>
  <c r="B47" i="61"/>
  <c r="Z46" i="61"/>
  <c r="X46" i="61"/>
  <c r="R46" i="61"/>
  <c r="N46" i="61"/>
  <c r="L46" i="61"/>
  <c r="B46" i="61"/>
  <c r="Z45" i="61"/>
  <c r="X45" i="61"/>
  <c r="V45" i="61"/>
  <c r="N45" i="61"/>
  <c r="L45" i="61"/>
  <c r="J45" i="61"/>
  <c r="B45" i="61"/>
  <c r="X44" i="61"/>
  <c r="T44" i="61"/>
  <c r="P44" i="61"/>
  <c r="H44" i="61"/>
  <c r="D44" i="61"/>
  <c r="B44" i="61"/>
  <c r="Z43" i="61"/>
  <c r="X43" i="61"/>
  <c r="V43" i="61"/>
  <c r="N43" i="61"/>
  <c r="L43" i="61"/>
  <c r="B43" i="61"/>
  <c r="T42" i="61"/>
  <c r="P42" i="61"/>
  <c r="H42" i="61"/>
  <c r="N42" i="61" s="1"/>
  <c r="D42" i="61"/>
  <c r="L42" i="61" s="1"/>
  <c r="B42" i="61"/>
  <c r="Z41" i="61"/>
  <c r="X41" i="61"/>
  <c r="V41" i="61"/>
  <c r="N41" i="61"/>
  <c r="L41" i="61"/>
  <c r="J41" i="61"/>
  <c r="B41" i="61"/>
  <c r="V40" i="61"/>
  <c r="T40" i="61"/>
  <c r="P40" i="61"/>
  <c r="X40" i="61" s="1"/>
  <c r="H40" i="61"/>
  <c r="D40" i="61"/>
  <c r="L40" i="61" s="1"/>
  <c r="B40" i="61"/>
  <c r="Z39" i="61"/>
  <c r="X39" i="61"/>
  <c r="V39" i="61"/>
  <c r="N39" i="61"/>
  <c r="L39" i="61"/>
  <c r="J39" i="61"/>
  <c r="B39" i="61"/>
  <c r="Z38" i="61"/>
  <c r="X38" i="61"/>
  <c r="N38" i="61"/>
  <c r="L38" i="61"/>
  <c r="B38" i="61"/>
  <c r="Z37" i="61"/>
  <c r="X37" i="61"/>
  <c r="V37" i="61"/>
  <c r="N37" i="61"/>
  <c r="L37" i="61"/>
  <c r="J37" i="61"/>
  <c r="B37" i="61"/>
  <c r="X36" i="61"/>
  <c r="Z36" i="61" s="1"/>
  <c r="V36" i="61"/>
  <c r="N36" i="61"/>
  <c r="L36" i="61"/>
  <c r="B36" i="61"/>
  <c r="Z35" i="61"/>
  <c r="X35" i="61"/>
  <c r="V35" i="61"/>
  <c r="N35" i="61"/>
  <c r="L35" i="61"/>
  <c r="B35" i="61"/>
  <c r="Z34" i="61"/>
  <c r="X34" i="61"/>
  <c r="V34" i="61"/>
  <c r="R34" i="61"/>
  <c r="N34" i="61"/>
  <c r="L34" i="61"/>
  <c r="B34" i="61"/>
  <c r="Z33" i="61"/>
  <c r="X33" i="61"/>
  <c r="V33" i="61"/>
  <c r="N33" i="61"/>
  <c r="L33" i="61"/>
  <c r="J33" i="61"/>
  <c r="B33" i="61"/>
  <c r="Z32" i="61"/>
  <c r="X32" i="61"/>
  <c r="N32" i="61"/>
  <c r="L32" i="61"/>
  <c r="J32" i="61"/>
  <c r="B32" i="61"/>
  <c r="Z31" i="61"/>
  <c r="X31" i="61"/>
  <c r="V31" i="61"/>
  <c r="N31" i="61"/>
  <c r="L31" i="61"/>
  <c r="J31" i="61"/>
  <c r="B31" i="61"/>
  <c r="Z30" i="61"/>
  <c r="X30" i="61"/>
  <c r="N30" i="61"/>
  <c r="L30" i="61"/>
  <c r="F30" i="61"/>
  <c r="B30" i="61"/>
  <c r="V29" i="61"/>
  <c r="T29" i="61"/>
  <c r="Z29" i="61" s="1"/>
  <c r="P29" i="61"/>
  <c r="X29" i="61" s="1"/>
  <c r="H29" i="61"/>
  <c r="D29" i="61"/>
  <c r="L29" i="61" s="1"/>
  <c r="N29" i="61" s="1"/>
  <c r="B29" i="61"/>
  <c r="X28" i="61"/>
  <c r="Z28" i="61" s="1"/>
  <c r="L28" i="61"/>
  <c r="N28" i="61" s="1"/>
  <c r="J28" i="61"/>
  <c r="B28" i="61"/>
  <c r="Z27" i="61"/>
  <c r="X27" i="61"/>
  <c r="V27" i="61"/>
  <c r="N27" i="61"/>
  <c r="L27" i="61"/>
  <c r="J27" i="61"/>
  <c r="B27" i="61"/>
  <c r="X26" i="61"/>
  <c r="Z26" i="61" s="1"/>
  <c r="L26" i="61"/>
  <c r="N26" i="61" s="1"/>
  <c r="B26" i="61"/>
  <c r="Z25" i="61"/>
  <c r="X25" i="61"/>
  <c r="V25" i="61"/>
  <c r="N25" i="61"/>
  <c r="L25" i="61"/>
  <c r="J25" i="61"/>
  <c r="B25" i="61"/>
  <c r="Z24" i="61"/>
  <c r="X24" i="61"/>
  <c r="V24" i="61"/>
  <c r="N24" i="61"/>
  <c r="L24" i="61"/>
  <c r="B24" i="61"/>
  <c r="Z23" i="61"/>
  <c r="X23" i="61"/>
  <c r="V23" i="61"/>
  <c r="N23" i="61"/>
  <c r="L23" i="61"/>
  <c r="J23" i="61"/>
  <c r="B23" i="61"/>
  <c r="X22" i="61"/>
  <c r="Z22" i="61" s="1"/>
  <c r="V22" i="61"/>
  <c r="R22" i="61"/>
  <c r="L22" i="61"/>
  <c r="N22" i="61" s="1"/>
  <c r="B22" i="61"/>
  <c r="Z21" i="61"/>
  <c r="X21" i="61"/>
  <c r="V21" i="61"/>
  <c r="N21" i="61"/>
  <c r="L21" i="61"/>
  <c r="J21" i="61"/>
  <c r="B21" i="61"/>
  <c r="X20" i="61"/>
  <c r="Z20" i="61" s="1"/>
  <c r="L20" i="61"/>
  <c r="N20" i="61" s="1"/>
  <c r="J20" i="61"/>
  <c r="B20" i="61"/>
  <c r="Z19" i="61"/>
  <c r="V19" i="61"/>
  <c r="T19" i="61"/>
  <c r="P19" i="61"/>
  <c r="X19" i="61" s="1"/>
  <c r="N19" i="61"/>
  <c r="L19" i="61"/>
  <c r="J19" i="61"/>
  <c r="H19" i="61"/>
  <c r="D19" i="61"/>
  <c r="B19" i="61"/>
  <c r="V18" i="61"/>
  <c r="T18" i="61"/>
  <c r="P18" i="61"/>
  <c r="J18" i="61"/>
  <c r="H18" i="61"/>
  <c r="D18" i="61"/>
  <c r="L18" i="61" s="1"/>
  <c r="V14" i="61"/>
  <c r="T14" i="61"/>
  <c r="P14" i="61"/>
  <c r="J14" i="61"/>
  <c r="H14" i="61"/>
  <c r="H16" i="61" s="1"/>
  <c r="D14" i="61"/>
  <c r="L14" i="61" s="1"/>
  <c r="T12" i="61"/>
  <c r="V48" i="61" s="1"/>
  <c r="P12" i="61"/>
  <c r="R45" i="61" s="1"/>
  <c r="N12" i="61"/>
  <c r="H12" i="61"/>
  <c r="J36" i="61" s="1"/>
  <c r="D12" i="61"/>
  <c r="F61" i="61" s="1"/>
  <c r="D6" i="61"/>
  <c r="D4" i="61"/>
  <c r="Z60" i="60"/>
  <c r="X60" i="60"/>
  <c r="N60" i="60"/>
  <c r="L60" i="60"/>
  <c r="X56" i="60"/>
  <c r="T56" i="60"/>
  <c r="Z56" i="60" s="1"/>
  <c r="P56" i="60"/>
  <c r="H56" i="60"/>
  <c r="D56" i="60"/>
  <c r="X54" i="60"/>
  <c r="Z54" i="60" s="1"/>
  <c r="L54" i="60"/>
  <c r="N54" i="60" s="1"/>
  <c r="B54" i="60"/>
  <c r="Z53" i="60"/>
  <c r="X53" i="60"/>
  <c r="T53" i="60"/>
  <c r="R53" i="60"/>
  <c r="P53" i="60"/>
  <c r="J53" i="60"/>
  <c r="H53" i="60"/>
  <c r="N53" i="60" s="1"/>
  <c r="D53" i="60"/>
  <c r="L53" i="60" s="1"/>
  <c r="B53" i="60"/>
  <c r="X52" i="60"/>
  <c r="Z52" i="60" s="1"/>
  <c r="N52" i="60"/>
  <c r="L52" i="60"/>
  <c r="F52" i="60"/>
  <c r="B52" i="60"/>
  <c r="Z51" i="60"/>
  <c r="X51" i="60"/>
  <c r="N51" i="60"/>
  <c r="L51" i="60"/>
  <c r="J51" i="60"/>
  <c r="B51" i="60"/>
  <c r="Z50" i="60"/>
  <c r="X50" i="60"/>
  <c r="N50" i="60"/>
  <c r="L50" i="60"/>
  <c r="B50" i="60"/>
  <c r="Z49" i="60"/>
  <c r="X49" i="60"/>
  <c r="T49" i="60"/>
  <c r="R49" i="60"/>
  <c r="P49" i="60"/>
  <c r="J49" i="60"/>
  <c r="H49" i="60"/>
  <c r="D49" i="60"/>
  <c r="L49" i="60" s="1"/>
  <c r="B49" i="60"/>
  <c r="X48" i="60"/>
  <c r="Z48" i="60" s="1"/>
  <c r="L48" i="60"/>
  <c r="N48" i="60" s="1"/>
  <c r="F48" i="60"/>
  <c r="B48" i="60"/>
  <c r="T47" i="60"/>
  <c r="Z47" i="60" s="1"/>
  <c r="P47" i="60"/>
  <c r="X47" i="60" s="1"/>
  <c r="N47" i="60"/>
  <c r="J47" i="60"/>
  <c r="H47" i="60"/>
  <c r="D47" i="60"/>
  <c r="L47" i="60" s="1"/>
  <c r="B47" i="60"/>
  <c r="Z46" i="60"/>
  <c r="X46" i="60"/>
  <c r="N46" i="60"/>
  <c r="L46" i="60"/>
  <c r="J46" i="60"/>
  <c r="B46" i="60"/>
  <c r="Z45" i="60"/>
  <c r="X45" i="60"/>
  <c r="N45" i="60"/>
  <c r="L45" i="60"/>
  <c r="J45" i="60"/>
  <c r="B45" i="60"/>
  <c r="T44" i="60"/>
  <c r="Z44" i="60" s="1"/>
  <c r="P44" i="60"/>
  <c r="X44" i="60" s="1"/>
  <c r="L44" i="60"/>
  <c r="H44" i="60"/>
  <c r="N44" i="60" s="1"/>
  <c r="D44" i="60"/>
  <c r="B44" i="60"/>
  <c r="Z43" i="60"/>
  <c r="X43" i="60"/>
  <c r="V43" i="60"/>
  <c r="N43" i="60"/>
  <c r="L43" i="60"/>
  <c r="J43" i="60"/>
  <c r="B43" i="60"/>
  <c r="X42" i="60"/>
  <c r="T42" i="60"/>
  <c r="P42" i="60"/>
  <c r="H42" i="60"/>
  <c r="D42" i="60"/>
  <c r="B42" i="60"/>
  <c r="Z41" i="60"/>
  <c r="X41" i="60"/>
  <c r="N41" i="60"/>
  <c r="L41" i="60"/>
  <c r="J41" i="60"/>
  <c r="B41" i="60"/>
  <c r="T40" i="60"/>
  <c r="P40" i="60"/>
  <c r="J40" i="60"/>
  <c r="H40" i="60"/>
  <c r="D40" i="60"/>
  <c r="L40" i="60" s="1"/>
  <c r="B40" i="60"/>
  <c r="Z39" i="60"/>
  <c r="X39" i="60"/>
  <c r="N39" i="60"/>
  <c r="L39" i="60"/>
  <c r="J39" i="60"/>
  <c r="B39" i="60"/>
  <c r="Z38" i="60"/>
  <c r="X38" i="60"/>
  <c r="N38" i="60"/>
  <c r="L38" i="60"/>
  <c r="B38" i="60"/>
  <c r="Z37" i="60"/>
  <c r="X37" i="60"/>
  <c r="N37" i="60"/>
  <c r="L37" i="60"/>
  <c r="J37" i="60"/>
  <c r="B37" i="60"/>
  <c r="Z36" i="60"/>
  <c r="X36" i="60"/>
  <c r="R36" i="60"/>
  <c r="N36" i="60"/>
  <c r="L36" i="60"/>
  <c r="B36" i="60"/>
  <c r="Z35" i="60"/>
  <c r="X35" i="60"/>
  <c r="V35" i="60"/>
  <c r="N35" i="60"/>
  <c r="L35" i="60"/>
  <c r="J35" i="60"/>
  <c r="B35" i="60"/>
  <c r="Z34" i="60"/>
  <c r="X34" i="60"/>
  <c r="N34" i="60"/>
  <c r="L34" i="60"/>
  <c r="J34" i="60"/>
  <c r="B34" i="60"/>
  <c r="Z33" i="60"/>
  <c r="X33" i="60"/>
  <c r="N33" i="60"/>
  <c r="L33" i="60"/>
  <c r="J33" i="60"/>
  <c r="B33" i="60"/>
  <c r="Z32" i="60"/>
  <c r="X32" i="60"/>
  <c r="N32" i="60"/>
  <c r="L32" i="60"/>
  <c r="J32" i="60"/>
  <c r="F32" i="60"/>
  <c r="B32" i="60"/>
  <c r="Z31" i="60"/>
  <c r="X31" i="60"/>
  <c r="V31" i="60"/>
  <c r="N31" i="60"/>
  <c r="L31" i="60"/>
  <c r="J31" i="60"/>
  <c r="B31" i="60"/>
  <c r="Z30" i="60"/>
  <c r="X30" i="60"/>
  <c r="N30" i="60"/>
  <c r="L30" i="60"/>
  <c r="B30" i="60"/>
  <c r="Z29" i="60"/>
  <c r="X29" i="60"/>
  <c r="V29" i="60"/>
  <c r="T29" i="60"/>
  <c r="R29" i="60"/>
  <c r="P29" i="60"/>
  <c r="J29" i="60"/>
  <c r="H29" i="60"/>
  <c r="N29" i="60" s="1"/>
  <c r="D29" i="60"/>
  <c r="L29" i="60" s="1"/>
  <c r="B29" i="60"/>
  <c r="X28" i="60"/>
  <c r="Z28" i="60" s="1"/>
  <c r="L28" i="60"/>
  <c r="N28" i="60" s="1"/>
  <c r="J28" i="60"/>
  <c r="F28" i="60"/>
  <c r="B28" i="60"/>
  <c r="Z27" i="60"/>
  <c r="X27" i="60"/>
  <c r="V27" i="60"/>
  <c r="N27" i="60"/>
  <c r="L27" i="60"/>
  <c r="J27" i="60"/>
  <c r="B27" i="60"/>
  <c r="X26" i="60"/>
  <c r="Z26" i="60" s="1"/>
  <c r="L26" i="60"/>
  <c r="N26" i="60" s="1"/>
  <c r="B26" i="60"/>
  <c r="Z25" i="60"/>
  <c r="X25" i="60"/>
  <c r="V25" i="60"/>
  <c r="N25" i="60"/>
  <c r="L25" i="60"/>
  <c r="J25" i="60"/>
  <c r="B25" i="60"/>
  <c r="Z24" i="60"/>
  <c r="X24" i="60"/>
  <c r="R24" i="60"/>
  <c r="N24" i="60"/>
  <c r="L24" i="60"/>
  <c r="F24" i="60"/>
  <c r="B24" i="60"/>
  <c r="Z23" i="60"/>
  <c r="X23" i="60"/>
  <c r="V23" i="60"/>
  <c r="N23" i="60"/>
  <c r="L23" i="60"/>
  <c r="J23" i="60"/>
  <c r="B23" i="60"/>
  <c r="X22" i="60"/>
  <c r="Z22" i="60" s="1"/>
  <c r="L22" i="60"/>
  <c r="N22" i="60" s="1"/>
  <c r="J22" i="60"/>
  <c r="F22" i="60"/>
  <c r="B22" i="60"/>
  <c r="Z21" i="60"/>
  <c r="X21" i="60"/>
  <c r="N21" i="60"/>
  <c r="L21" i="60"/>
  <c r="J21" i="60"/>
  <c r="B21" i="60"/>
  <c r="X20" i="60"/>
  <c r="Z20" i="60" s="1"/>
  <c r="L20" i="60"/>
  <c r="N20" i="60" s="1"/>
  <c r="J20" i="60"/>
  <c r="F20" i="60"/>
  <c r="B20" i="60"/>
  <c r="V19" i="60"/>
  <c r="T19" i="60"/>
  <c r="Z19" i="60" s="1"/>
  <c r="P19" i="60"/>
  <c r="X19" i="60" s="1"/>
  <c r="J19" i="60"/>
  <c r="H19" i="60"/>
  <c r="F19" i="60"/>
  <c r="D19" i="60"/>
  <c r="L19" i="60" s="1"/>
  <c r="N19" i="60" s="1"/>
  <c r="B19" i="60"/>
  <c r="X18" i="60"/>
  <c r="T18" i="60"/>
  <c r="P18" i="60"/>
  <c r="J18" i="60"/>
  <c r="H18" i="60"/>
  <c r="D18" i="60"/>
  <c r="T16" i="60"/>
  <c r="Z16" i="60" s="1"/>
  <c r="P16" i="60"/>
  <c r="X16" i="60" s="1"/>
  <c r="D16" i="60"/>
  <c r="X14" i="60"/>
  <c r="T14" i="60"/>
  <c r="Z14" i="60" s="1"/>
  <c r="P14" i="60"/>
  <c r="J14" i="60"/>
  <c r="H14" i="60"/>
  <c r="D14" i="60"/>
  <c r="X12" i="60"/>
  <c r="T12" i="60"/>
  <c r="V62" i="60" s="1"/>
  <c r="P12" i="60"/>
  <c r="R43" i="60" s="1"/>
  <c r="N12" i="60"/>
  <c r="L12" i="60"/>
  <c r="H12" i="60"/>
  <c r="J60" i="60" s="1"/>
  <c r="D12" i="60"/>
  <c r="F62" i="60" s="1"/>
  <c r="D6" i="60"/>
  <c r="D4" i="60"/>
  <c r="Z68" i="59"/>
  <c r="X68" i="59"/>
  <c r="R68" i="59"/>
  <c r="N68" i="59"/>
  <c r="L68" i="59"/>
  <c r="T64" i="59"/>
  <c r="Z64" i="59" s="1"/>
  <c r="P64" i="59"/>
  <c r="X64" i="59" s="1"/>
  <c r="L64" i="59"/>
  <c r="H64" i="59"/>
  <c r="N64" i="59" s="1"/>
  <c r="D64" i="59"/>
  <c r="X62" i="59"/>
  <c r="Z62" i="59" s="1"/>
  <c r="R62" i="59"/>
  <c r="L62" i="59"/>
  <c r="N62" i="59" s="1"/>
  <c r="B62" i="59"/>
  <c r="Z61" i="59"/>
  <c r="X61" i="59"/>
  <c r="V61" i="59"/>
  <c r="T61" i="59"/>
  <c r="P61" i="59"/>
  <c r="N61" i="59"/>
  <c r="L61" i="59"/>
  <c r="H61" i="59"/>
  <c r="D61" i="59"/>
  <c r="B61" i="59"/>
  <c r="Z60" i="59"/>
  <c r="X60" i="59"/>
  <c r="V60" i="59"/>
  <c r="N60" i="59"/>
  <c r="L60" i="59"/>
  <c r="B60" i="59"/>
  <c r="Z59" i="59"/>
  <c r="X59" i="59"/>
  <c r="V59" i="59"/>
  <c r="T59" i="59"/>
  <c r="R59" i="59"/>
  <c r="P59" i="59"/>
  <c r="N59" i="59"/>
  <c r="J59" i="59"/>
  <c r="H59" i="59"/>
  <c r="D59" i="59"/>
  <c r="L59" i="59" s="1"/>
  <c r="B59" i="59"/>
  <c r="X58" i="59"/>
  <c r="Z58" i="59" s="1"/>
  <c r="L58" i="59"/>
  <c r="N58" i="59" s="1"/>
  <c r="B58" i="59"/>
  <c r="Z57" i="59"/>
  <c r="X57" i="59"/>
  <c r="V57" i="59"/>
  <c r="N57" i="59"/>
  <c r="L57" i="59"/>
  <c r="J57" i="59"/>
  <c r="B57" i="59"/>
  <c r="V56" i="59"/>
  <c r="T56" i="59"/>
  <c r="P56" i="59"/>
  <c r="X56" i="59" s="1"/>
  <c r="H56" i="59"/>
  <c r="N56" i="59" s="1"/>
  <c r="D56" i="59"/>
  <c r="L56" i="59" s="1"/>
  <c r="B56" i="59"/>
  <c r="Z55" i="59"/>
  <c r="X55" i="59"/>
  <c r="V55" i="59"/>
  <c r="N55" i="59"/>
  <c r="L55" i="59"/>
  <c r="B55" i="59"/>
  <c r="T54" i="59"/>
  <c r="Z54" i="59" s="1"/>
  <c r="P54" i="59"/>
  <c r="X54" i="59" s="1"/>
  <c r="L54" i="59"/>
  <c r="H54" i="59"/>
  <c r="D54" i="59"/>
  <c r="B54" i="59"/>
  <c r="Z53" i="59"/>
  <c r="X53" i="59"/>
  <c r="V53" i="59"/>
  <c r="N53" i="59"/>
  <c r="L53" i="59"/>
  <c r="J53" i="59"/>
  <c r="B53" i="59"/>
  <c r="X52" i="59"/>
  <c r="T52" i="59"/>
  <c r="Z52" i="59" s="1"/>
  <c r="P52" i="59"/>
  <c r="H52" i="59"/>
  <c r="D52" i="59"/>
  <c r="B52" i="59"/>
  <c r="Z51" i="59"/>
  <c r="X51" i="59"/>
  <c r="V51" i="59"/>
  <c r="N51" i="59"/>
  <c r="L51" i="59"/>
  <c r="B51" i="59"/>
  <c r="X50" i="59"/>
  <c r="Z50" i="59" s="1"/>
  <c r="R50" i="59"/>
  <c r="L50" i="59"/>
  <c r="N50" i="59" s="1"/>
  <c r="B50" i="59"/>
  <c r="Z49" i="59"/>
  <c r="X49" i="59"/>
  <c r="V49" i="59"/>
  <c r="N49" i="59"/>
  <c r="L49" i="59"/>
  <c r="J49" i="59"/>
  <c r="B49" i="59"/>
  <c r="X48" i="59"/>
  <c r="Z48" i="59" s="1"/>
  <c r="L48" i="59"/>
  <c r="N48" i="59" s="1"/>
  <c r="B48" i="59"/>
  <c r="Z47" i="59"/>
  <c r="V47" i="59"/>
  <c r="T47" i="59"/>
  <c r="P47" i="59"/>
  <c r="X47" i="59" s="1"/>
  <c r="N47" i="59"/>
  <c r="L47" i="59"/>
  <c r="J47" i="59"/>
  <c r="H47" i="59"/>
  <c r="D47" i="59"/>
  <c r="B47" i="59"/>
  <c r="X46" i="59"/>
  <c r="Z46" i="59" s="1"/>
  <c r="R46" i="59"/>
  <c r="L46" i="59"/>
  <c r="N46" i="59" s="1"/>
  <c r="B46" i="59"/>
  <c r="Z45" i="59"/>
  <c r="X45" i="59"/>
  <c r="V45" i="59"/>
  <c r="T45" i="59"/>
  <c r="P45" i="59"/>
  <c r="N45" i="59"/>
  <c r="L45" i="59"/>
  <c r="J45" i="59"/>
  <c r="H45" i="59"/>
  <c r="D45" i="59"/>
  <c r="B45" i="59"/>
  <c r="X44" i="59"/>
  <c r="Z44" i="59" s="1"/>
  <c r="V44" i="59"/>
  <c r="L44" i="59"/>
  <c r="N44" i="59" s="1"/>
  <c r="B44" i="59"/>
  <c r="Z43" i="59"/>
  <c r="X43" i="59"/>
  <c r="V43" i="59"/>
  <c r="N43" i="59"/>
  <c r="L43" i="59"/>
  <c r="B43" i="59"/>
  <c r="T42" i="59"/>
  <c r="P42" i="59"/>
  <c r="H42" i="59"/>
  <c r="D42" i="59"/>
  <c r="L42" i="59" s="1"/>
  <c r="B42" i="59"/>
  <c r="Z41" i="59"/>
  <c r="X41" i="59"/>
  <c r="V41" i="59"/>
  <c r="N41" i="59"/>
  <c r="L41" i="59"/>
  <c r="J41" i="59"/>
  <c r="B41" i="59"/>
  <c r="V40" i="59"/>
  <c r="T40" i="59"/>
  <c r="Z40" i="59" s="1"/>
  <c r="P40" i="59"/>
  <c r="X40" i="59" s="1"/>
  <c r="H40" i="59"/>
  <c r="N40" i="59" s="1"/>
  <c r="D40" i="59"/>
  <c r="L40" i="59" s="1"/>
  <c r="B40" i="59"/>
  <c r="Z39" i="59"/>
  <c r="X39" i="59"/>
  <c r="V39" i="59"/>
  <c r="N39" i="59"/>
  <c r="L39" i="59"/>
  <c r="J39" i="59"/>
  <c r="B39" i="59"/>
  <c r="Z38" i="59"/>
  <c r="X38" i="59"/>
  <c r="N38" i="59"/>
  <c r="L38" i="59"/>
  <c r="B38" i="59"/>
  <c r="Z37" i="59"/>
  <c r="X37" i="59"/>
  <c r="V37" i="59"/>
  <c r="N37" i="59"/>
  <c r="L37" i="59"/>
  <c r="J37" i="59"/>
  <c r="B37" i="59"/>
  <c r="Z36" i="59"/>
  <c r="X36" i="59"/>
  <c r="V36" i="59"/>
  <c r="N36" i="59"/>
  <c r="L36" i="59"/>
  <c r="B36" i="59"/>
  <c r="Z35" i="59"/>
  <c r="X35" i="59"/>
  <c r="V35" i="59"/>
  <c r="N35" i="59"/>
  <c r="L35" i="59"/>
  <c r="J35" i="59"/>
  <c r="B35" i="59"/>
  <c r="Z34" i="59"/>
  <c r="X34" i="59"/>
  <c r="V34" i="59"/>
  <c r="R34" i="59"/>
  <c r="N34" i="59"/>
  <c r="L34" i="59"/>
  <c r="B34" i="59"/>
  <c r="Z33" i="59"/>
  <c r="X33" i="59"/>
  <c r="V33" i="59"/>
  <c r="N33" i="59"/>
  <c r="L33" i="59"/>
  <c r="J33" i="59"/>
  <c r="B33" i="59"/>
  <c r="Z32" i="59"/>
  <c r="X32" i="59"/>
  <c r="N32" i="59"/>
  <c r="L32" i="59"/>
  <c r="J32" i="59"/>
  <c r="B32" i="59"/>
  <c r="Z31" i="59"/>
  <c r="X31" i="59"/>
  <c r="V31" i="59"/>
  <c r="N31" i="59"/>
  <c r="L31" i="59"/>
  <c r="J31" i="59"/>
  <c r="B31" i="59"/>
  <c r="Z30" i="59"/>
  <c r="X30" i="59"/>
  <c r="N30" i="59"/>
  <c r="L30" i="59"/>
  <c r="B30" i="59"/>
  <c r="V29" i="59"/>
  <c r="T29" i="59"/>
  <c r="P29" i="59"/>
  <c r="X29" i="59" s="1"/>
  <c r="Z29" i="59" s="1"/>
  <c r="N29" i="59"/>
  <c r="J29" i="59"/>
  <c r="H29" i="59"/>
  <c r="D29" i="59"/>
  <c r="L29" i="59" s="1"/>
  <c r="B29" i="59"/>
  <c r="X28" i="59"/>
  <c r="Z28" i="59" s="1"/>
  <c r="L28" i="59"/>
  <c r="N28" i="59" s="1"/>
  <c r="J28" i="59"/>
  <c r="B28" i="59"/>
  <c r="Z27" i="59"/>
  <c r="X27" i="59"/>
  <c r="V27" i="59"/>
  <c r="N27" i="59"/>
  <c r="L27" i="59"/>
  <c r="J27" i="59"/>
  <c r="B27" i="59"/>
  <c r="X26" i="59"/>
  <c r="Z26" i="59" s="1"/>
  <c r="L26" i="59"/>
  <c r="N26" i="59" s="1"/>
  <c r="B26" i="59"/>
  <c r="Z25" i="59"/>
  <c r="X25" i="59"/>
  <c r="V25" i="59"/>
  <c r="N25" i="59"/>
  <c r="L25" i="59"/>
  <c r="J25" i="59"/>
  <c r="B25" i="59"/>
  <c r="X24" i="59"/>
  <c r="Z24" i="59" s="1"/>
  <c r="V24" i="59"/>
  <c r="L24" i="59"/>
  <c r="N24" i="59" s="1"/>
  <c r="B24" i="59"/>
  <c r="Z23" i="59"/>
  <c r="X23" i="59"/>
  <c r="V23" i="59"/>
  <c r="N23" i="59"/>
  <c r="L23" i="59"/>
  <c r="J23" i="59"/>
  <c r="B23" i="59"/>
  <c r="X22" i="59"/>
  <c r="Z22" i="59" s="1"/>
  <c r="V22" i="59"/>
  <c r="R22" i="59"/>
  <c r="L22" i="59"/>
  <c r="N22" i="59" s="1"/>
  <c r="B22" i="59"/>
  <c r="Z21" i="59"/>
  <c r="X21" i="59"/>
  <c r="V21" i="59"/>
  <c r="N21" i="59"/>
  <c r="L21" i="59"/>
  <c r="J21" i="59"/>
  <c r="B21" i="59"/>
  <c r="X20" i="59"/>
  <c r="Z20" i="59" s="1"/>
  <c r="L20" i="59"/>
  <c r="N20" i="59" s="1"/>
  <c r="J20" i="59"/>
  <c r="B20" i="59"/>
  <c r="Z19" i="59"/>
  <c r="V19" i="59"/>
  <c r="T19" i="59"/>
  <c r="P19" i="59"/>
  <c r="X19" i="59" s="1"/>
  <c r="N19" i="59"/>
  <c r="L19" i="59"/>
  <c r="J19" i="59"/>
  <c r="H19" i="59"/>
  <c r="D19" i="59"/>
  <c r="B19" i="59"/>
  <c r="V18" i="59"/>
  <c r="T18" i="59"/>
  <c r="P18" i="59"/>
  <c r="J18" i="59"/>
  <c r="H18" i="59"/>
  <c r="D18" i="59"/>
  <c r="L18" i="59" s="1"/>
  <c r="V14" i="59"/>
  <c r="T14" i="59"/>
  <c r="P14" i="59"/>
  <c r="J14" i="59"/>
  <c r="H14" i="59"/>
  <c r="H16" i="59" s="1"/>
  <c r="D14" i="59"/>
  <c r="L14" i="59" s="1"/>
  <c r="T12" i="59"/>
  <c r="V52" i="59" s="1"/>
  <c r="P12" i="59"/>
  <c r="R73" i="59" s="1"/>
  <c r="N12" i="59"/>
  <c r="H12" i="59"/>
  <c r="J70" i="59" s="1"/>
  <c r="D12" i="59"/>
  <c r="F26" i="59" s="1"/>
  <c r="D6" i="59"/>
  <c r="D4" i="59"/>
  <c r="Z78" i="58"/>
  <c r="X78" i="58"/>
  <c r="N78" i="58"/>
  <c r="L78" i="58"/>
  <c r="X74" i="58"/>
  <c r="T74" i="58"/>
  <c r="Z74" i="58" s="1"/>
  <c r="P74" i="58"/>
  <c r="H74" i="58"/>
  <c r="D74" i="58"/>
  <c r="X72" i="58"/>
  <c r="Z72" i="58" s="1"/>
  <c r="N72" i="58"/>
  <c r="L72" i="58"/>
  <c r="B72" i="58"/>
  <c r="Z71" i="58"/>
  <c r="X71" i="58"/>
  <c r="V71" i="58"/>
  <c r="T71" i="58"/>
  <c r="P71" i="58"/>
  <c r="N71" i="58"/>
  <c r="H71" i="58"/>
  <c r="D71" i="58"/>
  <c r="L71" i="58" s="1"/>
  <c r="B71" i="58"/>
  <c r="X70" i="58"/>
  <c r="Z70" i="58" s="1"/>
  <c r="L70" i="58"/>
  <c r="N70" i="58" s="1"/>
  <c r="B70" i="58"/>
  <c r="V69" i="58"/>
  <c r="T69" i="58"/>
  <c r="P69" i="58"/>
  <c r="X69" i="58" s="1"/>
  <c r="Z69" i="58" s="1"/>
  <c r="H69" i="58"/>
  <c r="D69" i="58"/>
  <c r="L69" i="58" s="1"/>
  <c r="N69" i="58" s="1"/>
  <c r="B69" i="58"/>
  <c r="X68" i="58"/>
  <c r="Z68" i="58" s="1"/>
  <c r="L68" i="58"/>
  <c r="N68" i="58" s="1"/>
  <c r="B68" i="58"/>
  <c r="V67" i="58"/>
  <c r="T67" i="58"/>
  <c r="P67" i="58"/>
  <c r="X67" i="58" s="1"/>
  <c r="Z67" i="58" s="1"/>
  <c r="N67" i="58"/>
  <c r="L67" i="58"/>
  <c r="J67" i="58"/>
  <c r="H67" i="58"/>
  <c r="D67" i="58"/>
  <c r="B67" i="58"/>
  <c r="Z66" i="58"/>
  <c r="X66" i="58"/>
  <c r="N66" i="58"/>
  <c r="L66" i="58"/>
  <c r="B66" i="58"/>
  <c r="Z65" i="58"/>
  <c r="X65" i="58"/>
  <c r="V65" i="58"/>
  <c r="N65" i="58"/>
  <c r="L65" i="58"/>
  <c r="J65" i="58"/>
  <c r="B65" i="58"/>
  <c r="X64" i="58"/>
  <c r="Z64" i="58" s="1"/>
  <c r="L64" i="58"/>
  <c r="N64" i="58" s="1"/>
  <c r="B64" i="58"/>
  <c r="Z63" i="58"/>
  <c r="X63" i="58"/>
  <c r="V63" i="58"/>
  <c r="N63" i="58"/>
  <c r="L63" i="58"/>
  <c r="J63" i="58"/>
  <c r="B63" i="58"/>
  <c r="T62" i="58"/>
  <c r="P62" i="58"/>
  <c r="X62" i="58" s="1"/>
  <c r="L62" i="58"/>
  <c r="H62" i="58"/>
  <c r="D62" i="58"/>
  <c r="B62" i="58"/>
  <c r="Z61" i="58"/>
  <c r="X61" i="58"/>
  <c r="V61" i="58"/>
  <c r="N61" i="58"/>
  <c r="L61" i="58"/>
  <c r="J61" i="58"/>
  <c r="B61" i="58"/>
  <c r="T60" i="58"/>
  <c r="P60" i="58"/>
  <c r="X60" i="58" s="1"/>
  <c r="H60" i="58"/>
  <c r="N60" i="58" s="1"/>
  <c r="D60" i="58"/>
  <c r="B60" i="58"/>
  <c r="Z59" i="58"/>
  <c r="X59" i="58"/>
  <c r="V59" i="58"/>
  <c r="N59" i="58"/>
  <c r="L59" i="58"/>
  <c r="B59" i="58"/>
  <c r="X58" i="58"/>
  <c r="Z58" i="58" s="1"/>
  <c r="L58" i="58"/>
  <c r="N58" i="58" s="1"/>
  <c r="B58" i="58"/>
  <c r="Z57" i="58"/>
  <c r="X57" i="58"/>
  <c r="V57" i="58"/>
  <c r="T57" i="58"/>
  <c r="P57" i="58"/>
  <c r="N57" i="58"/>
  <c r="L57" i="58"/>
  <c r="J57" i="58"/>
  <c r="H57" i="58"/>
  <c r="D57" i="58"/>
  <c r="B57" i="58"/>
  <c r="X56" i="58"/>
  <c r="Z56" i="58" s="1"/>
  <c r="V56" i="58"/>
  <c r="L56" i="58"/>
  <c r="N56" i="58" s="1"/>
  <c r="B56" i="58"/>
  <c r="Z55" i="58"/>
  <c r="X55" i="58"/>
  <c r="V55" i="58"/>
  <c r="N55" i="58"/>
  <c r="L55" i="58"/>
  <c r="J55" i="58"/>
  <c r="B55" i="58"/>
  <c r="Z54" i="58"/>
  <c r="X54" i="58"/>
  <c r="R54" i="58"/>
  <c r="N54" i="58"/>
  <c r="L54" i="58"/>
  <c r="B54" i="58"/>
  <c r="Z53" i="58"/>
  <c r="X53" i="58"/>
  <c r="V53" i="58"/>
  <c r="T53" i="58"/>
  <c r="P53" i="58"/>
  <c r="N53" i="58"/>
  <c r="L53" i="58"/>
  <c r="J53" i="58"/>
  <c r="H53" i="58"/>
  <c r="D53" i="58"/>
  <c r="B53" i="58"/>
  <c r="X52" i="58"/>
  <c r="Z52" i="58" s="1"/>
  <c r="V52" i="58"/>
  <c r="L52" i="58"/>
  <c r="N52" i="58" s="1"/>
  <c r="B52" i="58"/>
  <c r="Z51" i="58"/>
  <c r="X51" i="58"/>
  <c r="V51" i="58"/>
  <c r="T51" i="58"/>
  <c r="P51" i="58"/>
  <c r="J51" i="58"/>
  <c r="H51" i="58"/>
  <c r="D51" i="58"/>
  <c r="L51" i="58" s="1"/>
  <c r="N51" i="58" s="1"/>
  <c r="B51" i="58"/>
  <c r="Z50" i="58"/>
  <c r="X50" i="58"/>
  <c r="N50" i="58"/>
  <c r="L50" i="58"/>
  <c r="B50" i="58"/>
  <c r="Z49" i="58"/>
  <c r="V49" i="58"/>
  <c r="T49" i="58"/>
  <c r="P49" i="58"/>
  <c r="X49" i="58" s="1"/>
  <c r="N49" i="58"/>
  <c r="J49" i="58"/>
  <c r="H49" i="58"/>
  <c r="D49" i="58"/>
  <c r="L49" i="58" s="1"/>
  <c r="B49" i="58"/>
  <c r="X48" i="58"/>
  <c r="Z48" i="58" s="1"/>
  <c r="L48" i="58"/>
  <c r="N48" i="58" s="1"/>
  <c r="J48" i="58"/>
  <c r="B48" i="58"/>
  <c r="V47" i="58"/>
  <c r="T47" i="58"/>
  <c r="P47" i="58"/>
  <c r="X47" i="58" s="1"/>
  <c r="Z47" i="58" s="1"/>
  <c r="N47" i="58"/>
  <c r="L47" i="58"/>
  <c r="H47" i="58"/>
  <c r="D47" i="58"/>
  <c r="B47" i="58"/>
  <c r="Z46" i="58"/>
  <c r="X46" i="58"/>
  <c r="L46" i="58"/>
  <c r="N46" i="58" s="1"/>
  <c r="B46" i="58"/>
  <c r="Z45" i="58"/>
  <c r="X45" i="58"/>
  <c r="V45" i="58"/>
  <c r="T45" i="58"/>
  <c r="P45" i="58"/>
  <c r="L45" i="58"/>
  <c r="N45" i="58" s="1"/>
  <c r="H45" i="58"/>
  <c r="F45" i="58"/>
  <c r="D45" i="58"/>
  <c r="B45" i="58"/>
  <c r="X44" i="58"/>
  <c r="Z44" i="58" s="1"/>
  <c r="V44" i="58"/>
  <c r="L44" i="58"/>
  <c r="N44" i="58" s="1"/>
  <c r="B44" i="58"/>
  <c r="Z43" i="58"/>
  <c r="X43" i="58"/>
  <c r="V43" i="58"/>
  <c r="T43" i="58"/>
  <c r="P43" i="58"/>
  <c r="J43" i="58"/>
  <c r="H43" i="58"/>
  <c r="D43" i="58"/>
  <c r="B43" i="58"/>
  <c r="X42" i="58"/>
  <c r="Z42" i="58" s="1"/>
  <c r="L42" i="58"/>
  <c r="N42" i="58" s="1"/>
  <c r="B42" i="58"/>
  <c r="V41" i="58"/>
  <c r="T41" i="58"/>
  <c r="P41" i="58"/>
  <c r="N41" i="58"/>
  <c r="J41" i="58"/>
  <c r="H41" i="58"/>
  <c r="D41" i="58"/>
  <c r="L41" i="58" s="1"/>
  <c r="B41" i="58"/>
  <c r="Z40" i="58"/>
  <c r="X40" i="58"/>
  <c r="R40" i="58"/>
  <c r="N40" i="58"/>
  <c r="L40" i="58"/>
  <c r="J40" i="58"/>
  <c r="B40" i="58"/>
  <c r="Z39" i="58"/>
  <c r="X39" i="58"/>
  <c r="V39" i="58"/>
  <c r="N39" i="58"/>
  <c r="L39" i="58"/>
  <c r="J39" i="58"/>
  <c r="B39" i="58"/>
  <c r="Z38" i="58"/>
  <c r="X38" i="58"/>
  <c r="N38" i="58"/>
  <c r="L38" i="58"/>
  <c r="B38" i="58"/>
  <c r="Z37" i="58"/>
  <c r="X37" i="58"/>
  <c r="V37" i="58"/>
  <c r="N37" i="58"/>
  <c r="L37" i="58"/>
  <c r="B37" i="58"/>
  <c r="Z36" i="58"/>
  <c r="X36" i="58"/>
  <c r="V36" i="58"/>
  <c r="N36" i="58"/>
  <c r="L36" i="58"/>
  <c r="B36" i="58"/>
  <c r="Z35" i="58"/>
  <c r="X35" i="58"/>
  <c r="V35" i="58"/>
  <c r="N35" i="58"/>
  <c r="L35" i="58"/>
  <c r="J35" i="58"/>
  <c r="B35" i="58"/>
  <c r="X34" i="58"/>
  <c r="Z34" i="58" s="1"/>
  <c r="V34" i="58"/>
  <c r="L34" i="58"/>
  <c r="N34" i="58" s="1"/>
  <c r="F34" i="58"/>
  <c r="B34" i="58"/>
  <c r="Z33" i="58"/>
  <c r="X33" i="58"/>
  <c r="V33" i="58"/>
  <c r="N33" i="58"/>
  <c r="L33" i="58"/>
  <c r="J33" i="58"/>
  <c r="F33" i="58"/>
  <c r="B33" i="58"/>
  <c r="Z32" i="58"/>
  <c r="X32" i="58"/>
  <c r="R32" i="58"/>
  <c r="N32" i="58"/>
  <c r="L32" i="58"/>
  <c r="J32" i="58"/>
  <c r="F32" i="58"/>
  <c r="B32" i="58"/>
  <c r="Z31" i="58"/>
  <c r="X31" i="58"/>
  <c r="V31" i="58"/>
  <c r="N31" i="58"/>
  <c r="L31" i="58"/>
  <c r="J31" i="58"/>
  <c r="B31" i="58"/>
  <c r="T30" i="58"/>
  <c r="P30" i="58"/>
  <c r="X30" i="58" s="1"/>
  <c r="L30" i="58"/>
  <c r="H30" i="58"/>
  <c r="D30" i="58"/>
  <c r="B30" i="58"/>
  <c r="Z29" i="58"/>
  <c r="X29" i="58"/>
  <c r="V29" i="58"/>
  <c r="N29" i="58"/>
  <c r="L29" i="58"/>
  <c r="B29" i="58"/>
  <c r="X28" i="58"/>
  <c r="Z28" i="58" s="1"/>
  <c r="L28" i="58"/>
  <c r="N28" i="58" s="1"/>
  <c r="J28" i="58"/>
  <c r="B28" i="58"/>
  <c r="Z27" i="58"/>
  <c r="X27" i="58"/>
  <c r="V27" i="58"/>
  <c r="L27" i="58"/>
  <c r="N27" i="58" s="1"/>
  <c r="J27" i="58"/>
  <c r="B27" i="58"/>
  <c r="Z26" i="58"/>
  <c r="X26" i="58"/>
  <c r="R26" i="58"/>
  <c r="N26" i="58"/>
  <c r="L26" i="58"/>
  <c r="B26" i="58"/>
  <c r="Z25" i="58"/>
  <c r="X25" i="58"/>
  <c r="V25" i="58"/>
  <c r="R25" i="58"/>
  <c r="N25" i="58"/>
  <c r="L25" i="58"/>
  <c r="J25" i="58"/>
  <c r="B25" i="58"/>
  <c r="X24" i="58"/>
  <c r="Z24" i="58" s="1"/>
  <c r="V24" i="58"/>
  <c r="L24" i="58"/>
  <c r="N24" i="58" s="1"/>
  <c r="F24" i="58"/>
  <c r="B24" i="58"/>
  <c r="X23" i="58"/>
  <c r="Z23" i="58" s="1"/>
  <c r="V23" i="58"/>
  <c r="N23" i="58"/>
  <c r="L23" i="58"/>
  <c r="J23" i="58"/>
  <c r="B23" i="58"/>
  <c r="X22" i="58"/>
  <c r="Z22" i="58" s="1"/>
  <c r="V22" i="58"/>
  <c r="L22" i="58"/>
  <c r="N22" i="58" s="1"/>
  <c r="F22" i="58"/>
  <c r="B22" i="58"/>
  <c r="X21" i="58"/>
  <c r="Z21" i="58" s="1"/>
  <c r="V21" i="58"/>
  <c r="N21" i="58"/>
  <c r="L21" i="58"/>
  <c r="J21" i="58"/>
  <c r="F21" i="58"/>
  <c r="B21" i="58"/>
  <c r="X20" i="58"/>
  <c r="Z20" i="58" s="1"/>
  <c r="R20" i="58"/>
  <c r="L20" i="58"/>
  <c r="N20" i="58" s="1"/>
  <c r="B20" i="58"/>
  <c r="Z19" i="58"/>
  <c r="V19" i="58"/>
  <c r="T19" i="58"/>
  <c r="R19" i="58"/>
  <c r="P19" i="58"/>
  <c r="X19" i="58" s="1"/>
  <c r="L19" i="58"/>
  <c r="N19" i="58" s="1"/>
  <c r="J19" i="58"/>
  <c r="H19" i="58"/>
  <c r="D19" i="58"/>
  <c r="B19" i="58"/>
  <c r="V18" i="58"/>
  <c r="T18" i="58"/>
  <c r="P18" i="58"/>
  <c r="X18" i="58" s="1"/>
  <c r="J18" i="58"/>
  <c r="H18" i="58"/>
  <c r="F18" i="58"/>
  <c r="D18" i="58"/>
  <c r="L18" i="58" s="1"/>
  <c r="T16" i="58"/>
  <c r="R16" i="58"/>
  <c r="H16" i="58"/>
  <c r="Z14" i="58"/>
  <c r="X14" i="58"/>
  <c r="V14" i="58"/>
  <c r="T14" i="58"/>
  <c r="P14" i="58"/>
  <c r="J14" i="58"/>
  <c r="H14" i="58"/>
  <c r="N14" i="58" s="1"/>
  <c r="D14" i="58"/>
  <c r="L14" i="58" s="1"/>
  <c r="X12" i="58"/>
  <c r="T12" i="58"/>
  <c r="V80" i="58" s="1"/>
  <c r="P12" i="58"/>
  <c r="R71" i="58" s="1"/>
  <c r="N12" i="58"/>
  <c r="L12" i="58"/>
  <c r="H12" i="58"/>
  <c r="J37" i="58" s="1"/>
  <c r="D12" i="58"/>
  <c r="F51" i="58" s="1"/>
  <c r="D6" i="58"/>
  <c r="D4" i="58"/>
  <c r="Z69" i="57"/>
  <c r="X69" i="57"/>
  <c r="N69" i="57"/>
  <c r="L69" i="57"/>
  <c r="Z65" i="57"/>
  <c r="X65" i="57"/>
  <c r="T65" i="57"/>
  <c r="P65" i="57"/>
  <c r="N65" i="57"/>
  <c r="L65" i="57"/>
  <c r="H65" i="57"/>
  <c r="D65" i="57"/>
  <c r="Z63" i="57"/>
  <c r="X63" i="57"/>
  <c r="R63" i="57"/>
  <c r="N63" i="57"/>
  <c r="L63" i="57"/>
  <c r="B63" i="57"/>
  <c r="T62" i="57"/>
  <c r="P62" i="57"/>
  <c r="H62" i="57"/>
  <c r="N62" i="57" s="1"/>
  <c r="D62" i="57"/>
  <c r="B62" i="57"/>
  <c r="Z61" i="57"/>
  <c r="X61" i="57"/>
  <c r="N61" i="57"/>
  <c r="L61" i="57"/>
  <c r="B61" i="57"/>
  <c r="Z60" i="57"/>
  <c r="T60" i="57"/>
  <c r="P60" i="57"/>
  <c r="X60" i="57" s="1"/>
  <c r="N60" i="57"/>
  <c r="H60" i="57"/>
  <c r="D60" i="57"/>
  <c r="L60" i="57" s="1"/>
  <c r="B60" i="57"/>
  <c r="Z59" i="57"/>
  <c r="X59" i="57"/>
  <c r="L59" i="57"/>
  <c r="N59" i="57" s="1"/>
  <c r="B59" i="57"/>
  <c r="T58" i="57"/>
  <c r="P58" i="57"/>
  <c r="X58" i="57" s="1"/>
  <c r="Z58" i="57" s="1"/>
  <c r="L58" i="57"/>
  <c r="N58" i="57" s="1"/>
  <c r="H58" i="57"/>
  <c r="D58" i="57"/>
  <c r="B58" i="57"/>
  <c r="X57" i="57"/>
  <c r="Z57" i="57" s="1"/>
  <c r="L57" i="57"/>
  <c r="N57" i="57" s="1"/>
  <c r="B57" i="57"/>
  <c r="X56" i="57"/>
  <c r="Z56" i="57" s="1"/>
  <c r="T56" i="57"/>
  <c r="P56" i="57"/>
  <c r="N56" i="57"/>
  <c r="L56" i="57"/>
  <c r="H56" i="57"/>
  <c r="D56" i="57"/>
  <c r="B56" i="57"/>
  <c r="X55" i="57"/>
  <c r="Z55" i="57" s="1"/>
  <c r="L55" i="57"/>
  <c r="N55" i="57" s="1"/>
  <c r="B55" i="57"/>
  <c r="T54" i="57"/>
  <c r="X54" i="57" s="1"/>
  <c r="P54" i="57"/>
  <c r="N54" i="57"/>
  <c r="L54" i="57"/>
  <c r="H54" i="57"/>
  <c r="D54" i="57"/>
  <c r="B54" i="57"/>
  <c r="X53" i="57"/>
  <c r="Z53" i="57" s="1"/>
  <c r="L53" i="57"/>
  <c r="N53" i="57" s="1"/>
  <c r="B53" i="57"/>
  <c r="X52" i="57"/>
  <c r="Z52" i="57" s="1"/>
  <c r="N52" i="57"/>
  <c r="L52" i="57"/>
  <c r="B52" i="57"/>
  <c r="Z51" i="57"/>
  <c r="X51" i="57"/>
  <c r="N51" i="57"/>
  <c r="L51" i="57"/>
  <c r="B51" i="57"/>
  <c r="T50" i="57"/>
  <c r="P50" i="57"/>
  <c r="X50" i="57" s="1"/>
  <c r="N50" i="57"/>
  <c r="L50" i="57"/>
  <c r="H50" i="57"/>
  <c r="D50" i="57"/>
  <c r="B50" i="57"/>
  <c r="X49" i="57"/>
  <c r="Z49" i="57" s="1"/>
  <c r="L49" i="57"/>
  <c r="N49" i="57" s="1"/>
  <c r="B49" i="57"/>
  <c r="X48" i="57"/>
  <c r="Z48" i="57" s="1"/>
  <c r="T48" i="57"/>
  <c r="P48" i="57"/>
  <c r="H48" i="57"/>
  <c r="D48" i="57"/>
  <c r="B48" i="57"/>
  <c r="Z47" i="57"/>
  <c r="X47" i="57"/>
  <c r="N47" i="57"/>
  <c r="L47" i="57"/>
  <c r="B47" i="57"/>
  <c r="T46" i="57"/>
  <c r="P46" i="57"/>
  <c r="H46" i="57"/>
  <c r="D46" i="57"/>
  <c r="L46" i="57" s="1"/>
  <c r="N46" i="57" s="1"/>
  <c r="B46" i="57"/>
  <c r="X45" i="57"/>
  <c r="Z45" i="57" s="1"/>
  <c r="L45" i="57"/>
  <c r="N45" i="57" s="1"/>
  <c r="B45" i="57"/>
  <c r="X44" i="57"/>
  <c r="Z44" i="57" s="1"/>
  <c r="T44" i="57"/>
  <c r="R44" i="57"/>
  <c r="P44" i="57"/>
  <c r="H44" i="57"/>
  <c r="D44" i="57"/>
  <c r="B44" i="57"/>
  <c r="Z43" i="57"/>
  <c r="X43" i="57"/>
  <c r="R43" i="57"/>
  <c r="N43" i="57"/>
  <c r="L43" i="57"/>
  <c r="B43" i="57"/>
  <c r="T42" i="57"/>
  <c r="Z42" i="57" s="1"/>
  <c r="P42" i="57"/>
  <c r="N42" i="57"/>
  <c r="L42" i="57"/>
  <c r="H42" i="57"/>
  <c r="D42" i="57"/>
  <c r="B42" i="57"/>
  <c r="X41" i="57"/>
  <c r="Z41" i="57" s="1"/>
  <c r="L41" i="57"/>
  <c r="N41" i="57" s="1"/>
  <c r="B41" i="57"/>
  <c r="T40" i="57"/>
  <c r="R40" i="57"/>
  <c r="P40" i="57"/>
  <c r="X40" i="57" s="1"/>
  <c r="Z40" i="57" s="1"/>
  <c r="H40" i="57"/>
  <c r="D40" i="57"/>
  <c r="B40" i="57"/>
  <c r="Z39" i="57"/>
  <c r="X39" i="57"/>
  <c r="R39" i="57"/>
  <c r="N39" i="57"/>
  <c r="L39" i="57"/>
  <c r="B39" i="57"/>
  <c r="Z38" i="57"/>
  <c r="X38" i="57"/>
  <c r="R38" i="57"/>
  <c r="N38" i="57"/>
  <c r="L38" i="57"/>
  <c r="B38" i="57"/>
  <c r="X37" i="57"/>
  <c r="Z37" i="57" s="1"/>
  <c r="L37" i="57"/>
  <c r="N37" i="57" s="1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R34" i="57"/>
  <c r="N34" i="57"/>
  <c r="L34" i="57"/>
  <c r="F34" i="57"/>
  <c r="B34" i="57"/>
  <c r="Z33" i="57"/>
  <c r="X33" i="57"/>
  <c r="N33" i="57"/>
  <c r="L33" i="57"/>
  <c r="B33" i="57"/>
  <c r="Z32" i="57"/>
  <c r="X32" i="57"/>
  <c r="N32" i="57"/>
  <c r="L32" i="57"/>
  <c r="B32" i="57"/>
  <c r="Z31" i="57"/>
  <c r="X31" i="57"/>
  <c r="R31" i="57"/>
  <c r="N31" i="57"/>
  <c r="L31" i="57"/>
  <c r="B31" i="57"/>
  <c r="X30" i="57"/>
  <c r="Z30" i="57" s="1"/>
  <c r="V30" i="57"/>
  <c r="R30" i="57"/>
  <c r="L30" i="57"/>
  <c r="N30" i="57" s="1"/>
  <c r="B30" i="57"/>
  <c r="V29" i="57"/>
  <c r="T29" i="57"/>
  <c r="R29" i="57"/>
  <c r="P29" i="57"/>
  <c r="X29" i="57" s="1"/>
  <c r="Z29" i="57" s="1"/>
  <c r="H29" i="57"/>
  <c r="D29" i="57"/>
  <c r="L29" i="57" s="1"/>
  <c r="N29" i="57" s="1"/>
  <c r="B29" i="57"/>
  <c r="Z28" i="57"/>
  <c r="X28" i="57"/>
  <c r="R28" i="57"/>
  <c r="N28" i="57"/>
  <c r="L28" i="57"/>
  <c r="B28" i="57"/>
  <c r="Z27" i="57"/>
  <c r="X27" i="57"/>
  <c r="R27" i="57"/>
  <c r="N27" i="57"/>
  <c r="L27" i="57"/>
  <c r="F27" i="57"/>
  <c r="B27" i="57"/>
  <c r="X26" i="57"/>
  <c r="Z26" i="57" s="1"/>
  <c r="R26" i="57"/>
  <c r="L26" i="57"/>
  <c r="N26" i="57" s="1"/>
  <c r="B26" i="57"/>
  <c r="Z25" i="57"/>
  <c r="X25" i="57"/>
  <c r="N25" i="57"/>
  <c r="L25" i="57"/>
  <c r="B25" i="57"/>
  <c r="Z24" i="57"/>
  <c r="X24" i="57"/>
  <c r="R24" i="57"/>
  <c r="L24" i="57"/>
  <c r="N24" i="57" s="1"/>
  <c r="B24" i="57"/>
  <c r="Z23" i="57"/>
  <c r="X23" i="57"/>
  <c r="R23" i="57"/>
  <c r="N23" i="57"/>
  <c r="L23" i="57"/>
  <c r="B23" i="57"/>
  <c r="X22" i="57"/>
  <c r="Z22" i="57" s="1"/>
  <c r="R22" i="57"/>
  <c r="L22" i="57"/>
  <c r="N22" i="57" s="1"/>
  <c r="B22" i="57"/>
  <c r="X21" i="57"/>
  <c r="Z21" i="57" s="1"/>
  <c r="N21" i="57"/>
  <c r="L21" i="57"/>
  <c r="B21" i="57"/>
  <c r="Z20" i="57"/>
  <c r="X20" i="57"/>
  <c r="R20" i="57"/>
  <c r="L20" i="57"/>
  <c r="N20" i="57" s="1"/>
  <c r="B20" i="57"/>
  <c r="T19" i="57"/>
  <c r="R19" i="57"/>
  <c r="P19" i="57"/>
  <c r="X19" i="57" s="1"/>
  <c r="Z19" i="57" s="1"/>
  <c r="N19" i="57"/>
  <c r="L19" i="57"/>
  <c r="H19" i="57"/>
  <c r="D19" i="57"/>
  <c r="B19" i="57"/>
  <c r="V18" i="57"/>
  <c r="T18" i="57"/>
  <c r="P18" i="57"/>
  <c r="X18" i="57" s="1"/>
  <c r="H18" i="57"/>
  <c r="F18" i="57"/>
  <c r="D18" i="57"/>
  <c r="L18" i="57" s="1"/>
  <c r="N18" i="57" s="1"/>
  <c r="X16" i="57"/>
  <c r="T16" i="57"/>
  <c r="P16" i="57"/>
  <c r="D16" i="57"/>
  <c r="D67" i="57" s="1"/>
  <c r="D71" i="57" s="1"/>
  <c r="D74" i="57" s="1"/>
  <c r="V14" i="57"/>
  <c r="T14" i="57"/>
  <c r="Z14" i="57" s="1"/>
  <c r="P14" i="57"/>
  <c r="L14" i="57"/>
  <c r="H14" i="57"/>
  <c r="N14" i="57" s="1"/>
  <c r="F14" i="57"/>
  <c r="D14" i="57"/>
  <c r="X12" i="57"/>
  <c r="T12" i="57"/>
  <c r="V49" i="57" s="1"/>
  <c r="P12" i="57"/>
  <c r="R62" i="57" s="1"/>
  <c r="H12" i="57"/>
  <c r="J71" i="57" s="1"/>
  <c r="D12" i="57"/>
  <c r="F39" i="57" s="1"/>
  <c r="D6" i="57"/>
  <c r="D4" i="57"/>
  <c r="Z77" i="56"/>
  <c r="X77" i="56"/>
  <c r="N77" i="56"/>
  <c r="L77" i="56"/>
  <c r="Z73" i="56"/>
  <c r="T73" i="56"/>
  <c r="P73" i="56"/>
  <c r="X73" i="56" s="1"/>
  <c r="L73" i="56"/>
  <c r="H73" i="56"/>
  <c r="N73" i="56" s="1"/>
  <c r="D73" i="56"/>
  <c r="X71" i="56"/>
  <c r="Z71" i="56" s="1"/>
  <c r="L71" i="56"/>
  <c r="N71" i="56" s="1"/>
  <c r="B71" i="56"/>
  <c r="T70" i="56"/>
  <c r="P70" i="56"/>
  <c r="X70" i="56" s="1"/>
  <c r="Z70" i="56" s="1"/>
  <c r="N70" i="56"/>
  <c r="L70" i="56"/>
  <c r="H70" i="56"/>
  <c r="D70" i="56"/>
  <c r="B70" i="56"/>
  <c r="X69" i="56"/>
  <c r="Z69" i="56" s="1"/>
  <c r="N69" i="56"/>
  <c r="L69" i="56"/>
  <c r="B69" i="56"/>
  <c r="X68" i="56"/>
  <c r="Z68" i="56" s="1"/>
  <c r="T68" i="56"/>
  <c r="P68" i="56"/>
  <c r="H68" i="56"/>
  <c r="L68" i="56" s="1"/>
  <c r="D68" i="56"/>
  <c r="B68" i="56"/>
  <c r="Z67" i="56"/>
  <c r="X67" i="56"/>
  <c r="N67" i="56"/>
  <c r="L67" i="56"/>
  <c r="B67" i="56"/>
  <c r="Z66" i="56"/>
  <c r="T66" i="56"/>
  <c r="X66" i="56" s="1"/>
  <c r="P66" i="56"/>
  <c r="L66" i="56"/>
  <c r="N66" i="56" s="1"/>
  <c r="H66" i="56"/>
  <c r="D66" i="56"/>
  <c r="B66" i="56"/>
  <c r="Z65" i="56"/>
  <c r="X65" i="56"/>
  <c r="N65" i="56"/>
  <c r="L65" i="56"/>
  <c r="B65" i="56"/>
  <c r="X64" i="56"/>
  <c r="Z64" i="56" s="1"/>
  <c r="N64" i="56"/>
  <c r="L64" i="56"/>
  <c r="B64" i="56"/>
  <c r="Z63" i="56"/>
  <c r="X63" i="56"/>
  <c r="T63" i="56"/>
  <c r="P63" i="56"/>
  <c r="H63" i="56"/>
  <c r="D63" i="56"/>
  <c r="L63" i="56" s="1"/>
  <c r="B63" i="56"/>
  <c r="Z62" i="56"/>
  <c r="X62" i="56"/>
  <c r="N62" i="56"/>
  <c r="L62" i="56"/>
  <c r="B62" i="56"/>
  <c r="V61" i="56"/>
  <c r="T61" i="56"/>
  <c r="Z61" i="56" s="1"/>
  <c r="P61" i="56"/>
  <c r="X61" i="56" s="1"/>
  <c r="N61" i="56"/>
  <c r="H61" i="56"/>
  <c r="D61" i="56"/>
  <c r="L61" i="56" s="1"/>
  <c r="B61" i="56"/>
  <c r="Z60" i="56"/>
  <c r="X60" i="56"/>
  <c r="N60" i="56"/>
  <c r="L60" i="56"/>
  <c r="B60" i="56"/>
  <c r="Z59" i="56"/>
  <c r="X59" i="56"/>
  <c r="N59" i="56"/>
  <c r="L59" i="56"/>
  <c r="B59" i="56"/>
  <c r="T58" i="56"/>
  <c r="Z58" i="56" s="1"/>
  <c r="P58" i="56"/>
  <c r="X58" i="56" s="1"/>
  <c r="H58" i="56"/>
  <c r="D58" i="56"/>
  <c r="L58" i="56" s="1"/>
  <c r="N58" i="56" s="1"/>
  <c r="B58" i="56"/>
  <c r="Z57" i="56"/>
  <c r="X57" i="56"/>
  <c r="N57" i="56"/>
  <c r="L57" i="56"/>
  <c r="B57" i="56"/>
  <c r="X56" i="56"/>
  <c r="Z56" i="56" s="1"/>
  <c r="N56" i="56"/>
  <c r="L56" i="56"/>
  <c r="B56" i="56"/>
  <c r="Z55" i="56"/>
  <c r="X55" i="56"/>
  <c r="N55" i="56"/>
  <c r="L55" i="56"/>
  <c r="B55" i="56"/>
  <c r="T54" i="56"/>
  <c r="P54" i="56"/>
  <c r="X54" i="56" s="1"/>
  <c r="H54" i="56"/>
  <c r="D54" i="56"/>
  <c r="L54" i="56" s="1"/>
  <c r="N54" i="56" s="1"/>
  <c r="B54" i="56"/>
  <c r="Z53" i="56"/>
  <c r="X53" i="56"/>
  <c r="N53" i="56"/>
  <c r="L53" i="56"/>
  <c r="B53" i="56"/>
  <c r="T52" i="56"/>
  <c r="P52" i="56"/>
  <c r="X52" i="56" s="1"/>
  <c r="Z52" i="56" s="1"/>
  <c r="L52" i="56"/>
  <c r="H52" i="56"/>
  <c r="N52" i="56" s="1"/>
  <c r="D52" i="56"/>
  <c r="B52" i="56"/>
  <c r="Z51" i="56"/>
  <c r="X51" i="56"/>
  <c r="V51" i="56"/>
  <c r="N51" i="56"/>
  <c r="L51" i="56"/>
  <c r="B51" i="56"/>
  <c r="X50" i="56"/>
  <c r="T50" i="56"/>
  <c r="Z50" i="56" s="1"/>
  <c r="P50" i="56"/>
  <c r="H50" i="56"/>
  <c r="L50" i="56" s="1"/>
  <c r="D50" i="56"/>
  <c r="B50" i="56"/>
  <c r="Z49" i="56"/>
  <c r="X49" i="56"/>
  <c r="V49" i="56"/>
  <c r="N49" i="56"/>
  <c r="L49" i="56"/>
  <c r="B49" i="56"/>
  <c r="T48" i="56"/>
  <c r="X48" i="56" s="1"/>
  <c r="P48" i="56"/>
  <c r="H48" i="56"/>
  <c r="D48" i="56"/>
  <c r="L48" i="56" s="1"/>
  <c r="B48" i="56"/>
  <c r="Z47" i="56"/>
  <c r="X47" i="56"/>
  <c r="N47" i="56"/>
  <c r="L47" i="56"/>
  <c r="B47" i="56"/>
  <c r="T46" i="56"/>
  <c r="P46" i="56"/>
  <c r="X46" i="56" s="1"/>
  <c r="H46" i="56"/>
  <c r="D46" i="56"/>
  <c r="L46" i="56" s="1"/>
  <c r="N46" i="56" s="1"/>
  <c r="B46" i="56"/>
  <c r="Z45" i="56"/>
  <c r="X45" i="56"/>
  <c r="V45" i="56"/>
  <c r="N45" i="56"/>
  <c r="L45" i="56"/>
  <c r="B45" i="56"/>
  <c r="T44" i="56"/>
  <c r="P44" i="56"/>
  <c r="X44" i="56" s="1"/>
  <c r="Z44" i="56" s="1"/>
  <c r="L44" i="56"/>
  <c r="H44" i="56"/>
  <c r="N44" i="56" s="1"/>
  <c r="D44" i="56"/>
  <c r="B44" i="56"/>
  <c r="Z43" i="56"/>
  <c r="X43" i="56"/>
  <c r="V43" i="56"/>
  <c r="N43" i="56"/>
  <c r="L43" i="56"/>
  <c r="B43" i="56"/>
  <c r="X42" i="56"/>
  <c r="T42" i="56"/>
  <c r="Z42" i="56" s="1"/>
  <c r="P42" i="56"/>
  <c r="H42" i="56"/>
  <c r="L42" i="56" s="1"/>
  <c r="D42" i="56"/>
  <c r="B42" i="56"/>
  <c r="Z41" i="56"/>
  <c r="X41" i="56"/>
  <c r="V41" i="56"/>
  <c r="N41" i="56"/>
  <c r="L41" i="56"/>
  <c r="B41" i="56"/>
  <c r="V40" i="56"/>
  <c r="T40" i="56"/>
  <c r="X40" i="56" s="1"/>
  <c r="P40" i="56"/>
  <c r="H40" i="56"/>
  <c r="N40" i="56" s="1"/>
  <c r="D40" i="56"/>
  <c r="L40" i="56" s="1"/>
  <c r="B40" i="56"/>
  <c r="Z39" i="56"/>
  <c r="X39" i="56"/>
  <c r="N39" i="56"/>
  <c r="L39" i="56"/>
  <c r="J39" i="56"/>
  <c r="B39" i="56"/>
  <c r="Z38" i="56"/>
  <c r="X38" i="56"/>
  <c r="N38" i="56"/>
  <c r="L38" i="56"/>
  <c r="B38" i="56"/>
  <c r="Z37" i="56"/>
  <c r="X37" i="56"/>
  <c r="V37" i="56"/>
  <c r="N37" i="56"/>
  <c r="L37" i="56"/>
  <c r="B37" i="56"/>
  <c r="Z36" i="56"/>
  <c r="X36" i="56"/>
  <c r="V36" i="56"/>
  <c r="N36" i="56"/>
  <c r="L36" i="56"/>
  <c r="B36" i="56"/>
  <c r="Z35" i="56"/>
  <c r="X35" i="56"/>
  <c r="V35" i="56"/>
  <c r="N35" i="56"/>
  <c r="L35" i="56"/>
  <c r="B35" i="56"/>
  <c r="Z34" i="56"/>
  <c r="X34" i="56"/>
  <c r="V34" i="56"/>
  <c r="N34" i="56"/>
  <c r="L34" i="56"/>
  <c r="B34" i="56"/>
  <c r="Z33" i="56"/>
  <c r="X33" i="56"/>
  <c r="V33" i="56"/>
  <c r="N33" i="56"/>
  <c r="L33" i="56"/>
  <c r="J33" i="56"/>
  <c r="B33" i="56"/>
  <c r="Z32" i="56"/>
  <c r="X32" i="56"/>
  <c r="V32" i="56"/>
  <c r="N32" i="56"/>
  <c r="L32" i="56"/>
  <c r="B32" i="56"/>
  <c r="Z31" i="56"/>
  <c r="X31" i="56"/>
  <c r="N31" i="56"/>
  <c r="L31" i="56"/>
  <c r="J31" i="56"/>
  <c r="B31" i="56"/>
  <c r="Z30" i="56"/>
  <c r="X30" i="56"/>
  <c r="L30" i="56"/>
  <c r="N30" i="56" s="1"/>
  <c r="B30" i="56"/>
  <c r="V29" i="56"/>
  <c r="T29" i="56"/>
  <c r="P29" i="56"/>
  <c r="X29" i="56" s="1"/>
  <c r="H29" i="56"/>
  <c r="D29" i="56"/>
  <c r="L29" i="56" s="1"/>
  <c r="N29" i="56" s="1"/>
  <c r="B29" i="56"/>
  <c r="X28" i="56"/>
  <c r="Z28" i="56" s="1"/>
  <c r="V28" i="56"/>
  <c r="L28" i="56"/>
  <c r="N28" i="56" s="1"/>
  <c r="B28" i="56"/>
  <c r="Z27" i="56"/>
  <c r="X27" i="56"/>
  <c r="N27" i="56"/>
  <c r="L27" i="56"/>
  <c r="J27" i="56"/>
  <c r="B27" i="56"/>
  <c r="Z26" i="56"/>
  <c r="X26" i="56"/>
  <c r="L26" i="56"/>
  <c r="N26" i="56" s="1"/>
  <c r="B26" i="56"/>
  <c r="Z25" i="56"/>
  <c r="X25" i="56"/>
  <c r="V25" i="56"/>
  <c r="N25" i="56"/>
  <c r="L25" i="56"/>
  <c r="B25" i="56"/>
  <c r="X24" i="56"/>
  <c r="Z24" i="56" s="1"/>
  <c r="V24" i="56"/>
  <c r="L24" i="56"/>
  <c r="N24" i="56" s="1"/>
  <c r="B24" i="56"/>
  <c r="Z23" i="56"/>
  <c r="X23" i="56"/>
  <c r="V23" i="56"/>
  <c r="N23" i="56"/>
  <c r="L23" i="56"/>
  <c r="B23" i="56"/>
  <c r="X22" i="56"/>
  <c r="Z22" i="56" s="1"/>
  <c r="V22" i="56"/>
  <c r="N22" i="56"/>
  <c r="L22" i="56"/>
  <c r="F22" i="56"/>
  <c r="B22" i="56"/>
  <c r="Z21" i="56"/>
  <c r="X21" i="56"/>
  <c r="V21" i="56"/>
  <c r="N21" i="56"/>
  <c r="L21" i="56"/>
  <c r="J21" i="56"/>
  <c r="B21" i="56"/>
  <c r="X20" i="56"/>
  <c r="Z20" i="56" s="1"/>
  <c r="V20" i="56"/>
  <c r="L20" i="56"/>
  <c r="N20" i="56" s="1"/>
  <c r="F20" i="56"/>
  <c r="B20" i="56"/>
  <c r="T19" i="56"/>
  <c r="P19" i="56"/>
  <c r="X19" i="56" s="1"/>
  <c r="Z19" i="56" s="1"/>
  <c r="N19" i="56"/>
  <c r="L19" i="56"/>
  <c r="H19" i="56"/>
  <c r="D19" i="56"/>
  <c r="B19" i="56"/>
  <c r="X18" i="56"/>
  <c r="V18" i="56"/>
  <c r="T18" i="56"/>
  <c r="Z18" i="56" s="1"/>
  <c r="P18" i="56"/>
  <c r="H18" i="56"/>
  <c r="L18" i="56" s="1"/>
  <c r="D18" i="56"/>
  <c r="T16" i="56"/>
  <c r="Z16" i="56" s="1"/>
  <c r="P16" i="56"/>
  <c r="P75" i="56" s="1"/>
  <c r="D16" i="56"/>
  <c r="D75" i="56" s="1"/>
  <c r="X14" i="56"/>
  <c r="V14" i="56"/>
  <c r="T14" i="56"/>
  <c r="Z14" i="56" s="1"/>
  <c r="P14" i="56"/>
  <c r="H14" i="56"/>
  <c r="L14" i="56" s="1"/>
  <c r="D14" i="56"/>
  <c r="Z12" i="56"/>
  <c r="T12" i="56"/>
  <c r="P12" i="56"/>
  <c r="R64" i="56" s="1"/>
  <c r="L12" i="56"/>
  <c r="H12" i="56"/>
  <c r="J70" i="56" s="1"/>
  <c r="D12" i="56"/>
  <c r="F66" i="56" s="1"/>
  <c r="D6" i="56"/>
  <c r="D4" i="56"/>
  <c r="R38" i="55"/>
  <c r="Z33" i="55"/>
  <c r="X33" i="55"/>
  <c r="R33" i="55"/>
  <c r="N33" i="55"/>
  <c r="L33" i="55"/>
  <c r="R31" i="55"/>
  <c r="Z29" i="55"/>
  <c r="T29" i="55"/>
  <c r="P29" i="55"/>
  <c r="P31" i="55" s="1"/>
  <c r="L29" i="55"/>
  <c r="H29" i="55"/>
  <c r="N29" i="55" s="1"/>
  <c r="D29" i="55"/>
  <c r="X27" i="55"/>
  <c r="Z27" i="55" s="1"/>
  <c r="R27" i="55"/>
  <c r="N27" i="55"/>
  <c r="L27" i="55"/>
  <c r="B27" i="55"/>
  <c r="Z26" i="55"/>
  <c r="X26" i="55"/>
  <c r="V26" i="55"/>
  <c r="R26" i="55"/>
  <c r="N26" i="55"/>
  <c r="L26" i="55"/>
  <c r="B26" i="55"/>
  <c r="X25" i="55"/>
  <c r="V25" i="55"/>
  <c r="T25" i="55"/>
  <c r="Z25" i="55" s="1"/>
  <c r="R25" i="55"/>
  <c r="P25" i="55"/>
  <c r="H25" i="55"/>
  <c r="L25" i="55" s="1"/>
  <c r="D25" i="55"/>
  <c r="B25" i="55"/>
  <c r="Z24" i="55"/>
  <c r="X24" i="55"/>
  <c r="V24" i="55"/>
  <c r="R24" i="55"/>
  <c r="N24" i="55"/>
  <c r="L24" i="55"/>
  <c r="B24" i="55"/>
  <c r="V23" i="55"/>
  <c r="T23" i="55"/>
  <c r="X23" i="55" s="1"/>
  <c r="R23" i="55"/>
  <c r="P23" i="55"/>
  <c r="H23" i="55"/>
  <c r="N23" i="55" s="1"/>
  <c r="D23" i="55"/>
  <c r="L23" i="55" s="1"/>
  <c r="B23" i="55"/>
  <c r="Z22" i="55"/>
  <c r="X22" i="55"/>
  <c r="N22" i="55"/>
  <c r="L22" i="55"/>
  <c r="B22" i="55"/>
  <c r="T21" i="55"/>
  <c r="R21" i="55"/>
  <c r="P21" i="55"/>
  <c r="X21" i="55" s="1"/>
  <c r="H21" i="55"/>
  <c r="D21" i="55"/>
  <c r="L21" i="55" s="1"/>
  <c r="N21" i="55" s="1"/>
  <c r="B21" i="55"/>
  <c r="Z20" i="55"/>
  <c r="X20" i="55"/>
  <c r="V20" i="55"/>
  <c r="R20" i="55"/>
  <c r="N20" i="55"/>
  <c r="L20" i="55"/>
  <c r="B20" i="55"/>
  <c r="V19" i="55"/>
  <c r="T19" i="55"/>
  <c r="P19" i="55"/>
  <c r="X19" i="55" s="1"/>
  <c r="Z19" i="55" s="1"/>
  <c r="L19" i="55"/>
  <c r="H19" i="55"/>
  <c r="N19" i="55" s="1"/>
  <c r="D19" i="55"/>
  <c r="B19" i="55"/>
  <c r="V18" i="55"/>
  <c r="T18" i="55"/>
  <c r="R18" i="55"/>
  <c r="P18" i="55"/>
  <c r="X18" i="55" s="1"/>
  <c r="Z18" i="55" s="1"/>
  <c r="H18" i="55"/>
  <c r="N18" i="55" s="1"/>
  <c r="F18" i="55"/>
  <c r="D18" i="55"/>
  <c r="L18" i="55" s="1"/>
  <c r="R16" i="55"/>
  <c r="P16" i="55"/>
  <c r="Z14" i="55"/>
  <c r="V14" i="55"/>
  <c r="T14" i="55"/>
  <c r="X14" i="55" s="1"/>
  <c r="R14" i="55"/>
  <c r="P14" i="55"/>
  <c r="H14" i="55"/>
  <c r="N14" i="55" s="1"/>
  <c r="F14" i="55"/>
  <c r="D14" i="55"/>
  <c r="L14" i="55" s="1"/>
  <c r="Z12" i="55"/>
  <c r="X12" i="55"/>
  <c r="T12" i="55"/>
  <c r="V38" i="55" s="1"/>
  <c r="P12" i="55"/>
  <c r="R35" i="55" s="1"/>
  <c r="H12" i="55"/>
  <c r="J20" i="55" s="1"/>
  <c r="D12" i="55"/>
  <c r="F38" i="55" s="1"/>
  <c r="D6" i="55"/>
  <c r="D4" i="55"/>
  <c r="R31" i="54"/>
  <c r="F31" i="54"/>
  <c r="Z29" i="54"/>
  <c r="X29" i="54"/>
  <c r="T29" i="54"/>
  <c r="P29" i="54"/>
  <c r="J29" i="54"/>
  <c r="H29" i="54"/>
  <c r="F29" i="54"/>
  <c r="D29" i="54"/>
  <c r="L29" i="54" s="1"/>
  <c r="N29" i="54" s="1"/>
  <c r="V28" i="54"/>
  <c r="T28" i="54"/>
  <c r="R28" i="54"/>
  <c r="P28" i="54"/>
  <c r="X28" i="54" s="1"/>
  <c r="N28" i="54"/>
  <c r="L28" i="54"/>
  <c r="H28" i="54"/>
  <c r="F28" i="54"/>
  <c r="D28" i="54"/>
  <c r="J26" i="54"/>
  <c r="F26" i="54"/>
  <c r="Z24" i="54"/>
  <c r="X24" i="54"/>
  <c r="V24" i="54"/>
  <c r="N24" i="54"/>
  <c r="L24" i="54"/>
  <c r="V22" i="54"/>
  <c r="R22" i="54"/>
  <c r="F22" i="54"/>
  <c r="Z20" i="54"/>
  <c r="X20" i="54"/>
  <c r="T20" i="54"/>
  <c r="P20" i="54"/>
  <c r="N20" i="54"/>
  <c r="J20" i="54"/>
  <c r="H20" i="54"/>
  <c r="F20" i="54"/>
  <c r="D20" i="54"/>
  <c r="L20" i="54" s="1"/>
  <c r="V18" i="54"/>
  <c r="T18" i="54"/>
  <c r="Z18" i="54" s="1"/>
  <c r="R18" i="54"/>
  <c r="P18" i="54"/>
  <c r="X18" i="54" s="1"/>
  <c r="N18" i="54"/>
  <c r="L18" i="54"/>
  <c r="H18" i="54"/>
  <c r="F18" i="54"/>
  <c r="D18" i="54"/>
  <c r="J16" i="54"/>
  <c r="F16" i="54"/>
  <c r="D16" i="54"/>
  <c r="D22" i="54" s="1"/>
  <c r="V14" i="54"/>
  <c r="T14" i="54"/>
  <c r="Z14" i="54" s="1"/>
  <c r="R14" i="54"/>
  <c r="P14" i="54"/>
  <c r="X14" i="54" s="1"/>
  <c r="N14" i="54"/>
  <c r="L14" i="54"/>
  <c r="H14" i="54"/>
  <c r="F14" i="54"/>
  <c r="D14" i="54"/>
  <c r="Z12" i="54"/>
  <c r="T12" i="54"/>
  <c r="V31" i="54" s="1"/>
  <c r="P12" i="54"/>
  <c r="R24" i="54" s="1"/>
  <c r="H12" i="54"/>
  <c r="H16" i="54" s="1"/>
  <c r="D12" i="54"/>
  <c r="F24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D20" i="53"/>
  <c r="T16" i="53"/>
  <c r="Z16" i="53" s="1"/>
  <c r="P16" i="53"/>
  <c r="H16" i="53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22" i="53" s="1"/>
  <c r="P12" i="53"/>
  <c r="R34" i="53" s="1"/>
  <c r="H12" i="53"/>
  <c r="J20" i="53" s="1"/>
  <c r="D12" i="53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4" i="52" s="1"/>
  <c r="P12" i="52"/>
  <c r="H12" i="52"/>
  <c r="J24" i="52" s="1"/>
  <c r="D12" i="52"/>
  <c r="F20" i="52" s="1"/>
  <c r="D5" i="52"/>
  <c r="D4" i="52"/>
  <c r="X81" i="51"/>
  <c r="Z81" i="51" s="1"/>
  <c r="N81" i="51"/>
  <c r="L81" i="51"/>
  <c r="Z77" i="51"/>
  <c r="X77" i="51"/>
  <c r="P77" i="51"/>
  <c r="L77" i="51"/>
  <c r="N77" i="51" s="1"/>
  <c r="D77" i="51"/>
  <c r="B77" i="51"/>
  <c r="Z76" i="51"/>
  <c r="P76" i="51"/>
  <c r="X76" i="51" s="1"/>
  <c r="N76" i="51"/>
  <c r="L76" i="51"/>
  <c r="D76" i="51"/>
  <c r="B76" i="51"/>
  <c r="Z75" i="51"/>
  <c r="P75" i="51"/>
  <c r="X75" i="51" s="1"/>
  <c r="N75" i="51"/>
  <c r="D75" i="51"/>
  <c r="L75" i="51" s="1"/>
  <c r="B75" i="51"/>
  <c r="T74" i="51"/>
  <c r="P74" i="51"/>
  <c r="X74" i="51" s="1"/>
  <c r="Z74" i="51" s="1"/>
  <c r="H74" i="51"/>
  <c r="X72" i="51"/>
  <c r="Z72" i="51" s="1"/>
  <c r="L72" i="51"/>
  <c r="N72" i="51" s="1"/>
  <c r="B72" i="51"/>
  <c r="Z71" i="51"/>
  <c r="T71" i="51"/>
  <c r="P71" i="51"/>
  <c r="X71" i="51" s="1"/>
  <c r="H71" i="51"/>
  <c r="D71" i="51"/>
  <c r="L71" i="51" s="1"/>
  <c r="B71" i="51"/>
  <c r="Z70" i="51"/>
  <c r="X70" i="51"/>
  <c r="L70" i="51"/>
  <c r="N70" i="51" s="1"/>
  <c r="B70" i="51"/>
  <c r="X69" i="51"/>
  <c r="Z69" i="51" s="1"/>
  <c r="N69" i="51"/>
  <c r="L69" i="51"/>
  <c r="B69" i="51"/>
  <c r="T68" i="51"/>
  <c r="P68" i="51"/>
  <c r="X68" i="51" s="1"/>
  <c r="N68" i="51"/>
  <c r="H68" i="51"/>
  <c r="D68" i="51"/>
  <c r="L68" i="51" s="1"/>
  <c r="B68" i="51"/>
  <c r="X67" i="51"/>
  <c r="Z67" i="51" s="1"/>
  <c r="N67" i="51"/>
  <c r="L67" i="51"/>
  <c r="B67" i="51"/>
  <c r="T66" i="51"/>
  <c r="P66" i="51"/>
  <c r="N66" i="51"/>
  <c r="L66" i="51"/>
  <c r="H66" i="51"/>
  <c r="D66" i="51"/>
  <c r="B66" i="51"/>
  <c r="Z65" i="51"/>
  <c r="X65" i="51"/>
  <c r="N65" i="51"/>
  <c r="L65" i="51"/>
  <c r="B65" i="51"/>
  <c r="X64" i="51"/>
  <c r="Z64" i="51" s="1"/>
  <c r="T64" i="51"/>
  <c r="P64" i="51"/>
  <c r="L64" i="51"/>
  <c r="H64" i="51"/>
  <c r="N64" i="51" s="1"/>
  <c r="D64" i="51"/>
  <c r="B64" i="51"/>
  <c r="Z63" i="51"/>
  <c r="X63" i="51"/>
  <c r="L63" i="51"/>
  <c r="N63" i="51" s="1"/>
  <c r="B63" i="51"/>
  <c r="T62" i="51"/>
  <c r="P62" i="51"/>
  <c r="L62" i="51"/>
  <c r="H62" i="51"/>
  <c r="D62" i="51"/>
  <c r="B62" i="51"/>
  <c r="X61" i="51"/>
  <c r="Z61" i="51" s="1"/>
  <c r="N61" i="51"/>
  <c r="L61" i="51"/>
  <c r="B61" i="51"/>
  <c r="T60" i="51"/>
  <c r="P60" i="51"/>
  <c r="H60" i="51"/>
  <c r="D60" i="51"/>
  <c r="L60" i="51" s="1"/>
  <c r="N60" i="51" s="1"/>
  <c r="B60" i="51"/>
  <c r="Z59" i="51"/>
  <c r="X59" i="51"/>
  <c r="N59" i="51"/>
  <c r="L59" i="51"/>
  <c r="B59" i="51"/>
  <c r="T58" i="51"/>
  <c r="Z58" i="51" s="1"/>
  <c r="P58" i="51"/>
  <c r="N58" i="51"/>
  <c r="H58" i="51"/>
  <c r="D58" i="51"/>
  <c r="L58" i="51" s="1"/>
  <c r="B58" i="51"/>
  <c r="Z57" i="51"/>
  <c r="X57" i="51"/>
  <c r="N57" i="51"/>
  <c r="L57" i="51"/>
  <c r="B57" i="51"/>
  <c r="T56" i="51"/>
  <c r="P56" i="51"/>
  <c r="X56" i="51" s="1"/>
  <c r="Z56" i="51" s="1"/>
  <c r="L56" i="51"/>
  <c r="N56" i="51" s="1"/>
  <c r="H56" i="51"/>
  <c r="D56" i="51"/>
  <c r="B56" i="51"/>
  <c r="Z55" i="51"/>
  <c r="X55" i="51"/>
  <c r="N55" i="51"/>
  <c r="L55" i="51"/>
  <c r="B55" i="51"/>
  <c r="Z54" i="51"/>
  <c r="X54" i="51"/>
  <c r="N54" i="51"/>
  <c r="L54" i="51"/>
  <c r="B54" i="51"/>
  <c r="X53" i="51"/>
  <c r="Z53" i="51" s="1"/>
  <c r="N53" i="51"/>
  <c r="L53" i="51"/>
  <c r="B53" i="51"/>
  <c r="Z52" i="51"/>
  <c r="X52" i="51"/>
  <c r="V52" i="51"/>
  <c r="N52" i="51"/>
  <c r="L52" i="51"/>
  <c r="B52" i="51"/>
  <c r="Z51" i="51"/>
  <c r="X51" i="5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V48" i="51"/>
  <c r="N48" i="51"/>
  <c r="L48" i="51"/>
  <c r="B48" i="51"/>
  <c r="Z47" i="51"/>
  <c r="X47" i="51"/>
  <c r="V47" i="51"/>
  <c r="L47" i="51"/>
  <c r="N47" i="51" s="1"/>
  <c r="B47" i="51"/>
  <c r="Z46" i="51"/>
  <c r="X46" i="51"/>
  <c r="N46" i="51"/>
  <c r="L46" i="51"/>
  <c r="B46" i="51"/>
  <c r="T45" i="51"/>
  <c r="X45" i="51" s="1"/>
  <c r="P45" i="51"/>
  <c r="H45" i="51"/>
  <c r="D45" i="51"/>
  <c r="L45" i="51" s="1"/>
  <c r="B45" i="51"/>
  <c r="X44" i="51"/>
  <c r="Z44" i="51" s="1"/>
  <c r="N44" i="51"/>
  <c r="L44" i="51"/>
  <c r="B44" i="51"/>
  <c r="X43" i="51"/>
  <c r="Z43" i="51" s="1"/>
  <c r="L43" i="51"/>
  <c r="N43" i="51" s="1"/>
  <c r="B43" i="51"/>
  <c r="X42" i="51"/>
  <c r="Z42" i="51" s="1"/>
  <c r="V42" i="51"/>
  <c r="N42" i="51"/>
  <c r="L42" i="51"/>
  <c r="B42" i="51"/>
  <c r="Z41" i="51"/>
  <c r="X41" i="51"/>
  <c r="N41" i="51"/>
  <c r="L41" i="51"/>
  <c r="B41" i="51"/>
  <c r="Z40" i="51"/>
  <c r="X40" i="51"/>
  <c r="V40" i="51"/>
  <c r="N40" i="51"/>
  <c r="L40" i="51"/>
  <c r="B40" i="51"/>
  <c r="X39" i="51"/>
  <c r="Z39" i="51" s="1"/>
  <c r="L39" i="51"/>
  <c r="N39" i="51" s="1"/>
  <c r="B39" i="51"/>
  <c r="Z38" i="51"/>
  <c r="X38" i="51"/>
  <c r="L38" i="51"/>
  <c r="N38" i="51" s="1"/>
  <c r="B38" i="51"/>
  <c r="Z37" i="51"/>
  <c r="X37" i="51"/>
  <c r="L37" i="51"/>
  <c r="N37" i="51" s="1"/>
  <c r="B37" i="51"/>
  <c r="X36" i="51"/>
  <c r="Z36" i="51" s="1"/>
  <c r="N36" i="51"/>
  <c r="L36" i="51"/>
  <c r="B36" i="51"/>
  <c r="X35" i="51"/>
  <c r="Z35" i="51" s="1"/>
  <c r="L35" i="51"/>
  <c r="N35" i="51" s="1"/>
  <c r="B35" i="51"/>
  <c r="X34" i="51"/>
  <c r="Z34" i="51" s="1"/>
  <c r="V34" i="51"/>
  <c r="T34" i="51"/>
  <c r="P34" i="51"/>
  <c r="H34" i="51"/>
  <c r="D34" i="51"/>
  <c r="B34" i="51"/>
  <c r="T33" i="51"/>
  <c r="P33" i="51"/>
  <c r="X33" i="51" s="1"/>
  <c r="L33" i="51"/>
  <c r="H33" i="51"/>
  <c r="N33" i="51" s="1"/>
  <c r="D33" i="51"/>
  <c r="Z29" i="51"/>
  <c r="X29" i="51"/>
  <c r="N29" i="51"/>
  <c r="L29" i="51"/>
  <c r="B29" i="51"/>
  <c r="Z28" i="51"/>
  <c r="X28" i="51"/>
  <c r="N28" i="51"/>
  <c r="L28" i="51"/>
  <c r="B28" i="51"/>
  <c r="Z27" i="51"/>
  <c r="X27" i="51"/>
  <c r="N27" i="51"/>
  <c r="L27" i="51"/>
  <c r="B27" i="51"/>
  <c r="Z26" i="51"/>
  <c r="X26" i="51"/>
  <c r="V26" i="51"/>
  <c r="N26" i="51"/>
  <c r="L26" i="51"/>
  <c r="B26" i="51"/>
  <c r="Z25" i="51"/>
  <c r="X25" i="51"/>
  <c r="N25" i="51"/>
  <c r="L25" i="51"/>
  <c r="B25" i="51"/>
  <c r="Z24" i="51"/>
  <c r="X24" i="51"/>
  <c r="V24" i="51"/>
  <c r="N24" i="51"/>
  <c r="L24" i="51"/>
  <c r="B24" i="51"/>
  <c r="Z23" i="51"/>
  <c r="X23" i="51"/>
  <c r="N23" i="51"/>
  <c r="L23" i="51"/>
  <c r="B23" i="51"/>
  <c r="Z22" i="51"/>
  <c r="X22" i="51"/>
  <c r="N22" i="51"/>
  <c r="L22" i="51"/>
  <c r="B22" i="51"/>
  <c r="Z21" i="51"/>
  <c r="X21" i="51"/>
  <c r="N21" i="51"/>
  <c r="L21" i="51"/>
  <c r="B21" i="51"/>
  <c r="X20" i="51"/>
  <c r="Z20" i="51" s="1"/>
  <c r="N20" i="51"/>
  <c r="L20" i="51"/>
  <c r="B20" i="51"/>
  <c r="T19" i="51"/>
  <c r="T31" i="51" s="1"/>
  <c r="P19" i="51"/>
  <c r="X19" i="51" s="1"/>
  <c r="H19" i="51"/>
  <c r="N19" i="51" s="1"/>
  <c r="D19" i="51"/>
  <c r="L19" i="51" s="1"/>
  <c r="Z17" i="51"/>
  <c r="X17" i="51"/>
  <c r="P17" i="51"/>
  <c r="N17" i="51"/>
  <c r="D17" i="51"/>
  <c r="L17" i="51" s="1"/>
  <c r="B17" i="51"/>
  <c r="Z16" i="51"/>
  <c r="P16" i="51"/>
  <c r="X16" i="51" s="1"/>
  <c r="N16" i="51"/>
  <c r="L16" i="51"/>
  <c r="D16" i="51"/>
  <c r="B16" i="51"/>
  <c r="Z15" i="51"/>
  <c r="X15" i="51"/>
  <c r="P15" i="51"/>
  <c r="N15" i="51"/>
  <c r="L15" i="51"/>
  <c r="D15" i="51"/>
  <c r="B15" i="51"/>
  <c r="P14" i="51"/>
  <c r="X14" i="51" s="1"/>
  <c r="Z14" i="51" s="1"/>
  <c r="L14" i="51"/>
  <c r="N14" i="51" s="1"/>
  <c r="D14" i="51"/>
  <c r="B14" i="51"/>
  <c r="X13" i="51"/>
  <c r="Z13" i="51" s="1"/>
  <c r="P13" i="51"/>
  <c r="D13" i="51"/>
  <c r="L13" i="51" s="1"/>
  <c r="N13" i="51" s="1"/>
  <c r="B13" i="51"/>
  <c r="T12" i="51"/>
  <c r="V63" i="51" s="1"/>
  <c r="H12" i="51"/>
  <c r="J67" i="51" s="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36" i="50" s="1"/>
  <c r="P12" i="50"/>
  <c r="R21" i="50" s="1"/>
  <c r="H12" i="50"/>
  <c r="J22" i="50" s="1"/>
  <c r="D12" i="50"/>
  <c r="F36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18" i="49" s="1"/>
  <c r="P12" i="49"/>
  <c r="R34" i="49" s="1"/>
  <c r="H12" i="49"/>
  <c r="J22" i="49" s="1"/>
  <c r="D12" i="49"/>
  <c r="F18" i="49" s="1"/>
  <c r="D5" i="49"/>
  <c r="D4" i="49"/>
  <c r="X77" i="48"/>
  <c r="Z77" i="48" s="1"/>
  <c r="N77" i="48"/>
  <c r="L77" i="48"/>
  <c r="P73" i="48"/>
  <c r="P72" i="48" s="1"/>
  <c r="D73" i="48"/>
  <c r="L73" i="48" s="1"/>
  <c r="N73" i="48" s="1"/>
  <c r="B73" i="48"/>
  <c r="T72" i="48"/>
  <c r="H72" i="48"/>
  <c r="D72" i="48"/>
  <c r="Z70" i="48"/>
  <c r="X70" i="48"/>
  <c r="N70" i="48"/>
  <c r="L70" i="48"/>
  <c r="B70" i="48"/>
  <c r="T69" i="48"/>
  <c r="Z69" i="48" s="1"/>
  <c r="P69" i="48"/>
  <c r="X69" i="48" s="1"/>
  <c r="L69" i="48"/>
  <c r="H69" i="48"/>
  <c r="N69" i="48" s="1"/>
  <c r="D69" i="48"/>
  <c r="B69" i="48"/>
  <c r="Z68" i="48"/>
  <c r="X68" i="48"/>
  <c r="L68" i="48"/>
  <c r="N68" i="48" s="1"/>
  <c r="B68" i="48"/>
  <c r="X67" i="48"/>
  <c r="T67" i="48"/>
  <c r="Z67" i="48" s="1"/>
  <c r="P67" i="48"/>
  <c r="H67" i="48"/>
  <c r="L67" i="48" s="1"/>
  <c r="D67" i="48"/>
  <c r="B67" i="48"/>
  <c r="Z66" i="48"/>
  <c r="X66" i="48"/>
  <c r="N66" i="48"/>
  <c r="L66" i="48"/>
  <c r="B66" i="48"/>
  <c r="Z65" i="48"/>
  <c r="X65" i="48"/>
  <c r="R65" i="48"/>
  <c r="N65" i="48"/>
  <c r="L65" i="48"/>
  <c r="B65" i="48"/>
  <c r="Z64" i="48"/>
  <c r="X64" i="48"/>
  <c r="L64" i="48"/>
  <c r="N64" i="48" s="1"/>
  <c r="B64" i="48"/>
  <c r="X63" i="48"/>
  <c r="T63" i="48"/>
  <c r="Z63" i="48" s="1"/>
  <c r="P63" i="48"/>
  <c r="H63" i="48"/>
  <c r="L63" i="48" s="1"/>
  <c r="D63" i="48"/>
  <c r="B63" i="48"/>
  <c r="Z62" i="48"/>
  <c r="X62" i="48"/>
  <c r="N62" i="48"/>
  <c r="L62" i="48"/>
  <c r="B62" i="48"/>
  <c r="T61" i="48"/>
  <c r="X61" i="48" s="1"/>
  <c r="P61" i="48"/>
  <c r="H61" i="48"/>
  <c r="N61" i="48" s="1"/>
  <c r="D61" i="48"/>
  <c r="L61" i="48" s="1"/>
  <c r="B61" i="48"/>
  <c r="Z60" i="48"/>
  <c r="X60" i="48"/>
  <c r="N60" i="48"/>
  <c r="L60" i="48"/>
  <c r="B60" i="48"/>
  <c r="X59" i="48"/>
  <c r="Z59" i="48" s="1"/>
  <c r="R59" i="48"/>
  <c r="L59" i="48"/>
  <c r="N59" i="48" s="1"/>
  <c r="B59" i="48"/>
  <c r="Z58" i="48"/>
  <c r="X58" i="48"/>
  <c r="N58" i="48"/>
  <c r="L58" i="48"/>
  <c r="B58" i="48"/>
  <c r="T57" i="48"/>
  <c r="X57" i="48" s="1"/>
  <c r="P57" i="48"/>
  <c r="H57" i="48"/>
  <c r="N57" i="48" s="1"/>
  <c r="D57" i="48"/>
  <c r="L57" i="48" s="1"/>
  <c r="B57" i="48"/>
  <c r="X56" i="48"/>
  <c r="Z56" i="48" s="1"/>
  <c r="N56" i="48"/>
  <c r="L56" i="48"/>
  <c r="B56" i="48"/>
  <c r="T55" i="48"/>
  <c r="Z55" i="48" s="1"/>
  <c r="P55" i="48"/>
  <c r="X55" i="48" s="1"/>
  <c r="H55" i="48"/>
  <c r="D55" i="48"/>
  <c r="L55" i="48" s="1"/>
  <c r="B55" i="48"/>
  <c r="Z54" i="48"/>
  <c r="X54" i="48"/>
  <c r="N54" i="48"/>
  <c r="L54" i="48"/>
  <c r="B54" i="48"/>
  <c r="T53" i="48"/>
  <c r="P53" i="48"/>
  <c r="X53" i="48" s="1"/>
  <c r="L53" i="48"/>
  <c r="H53" i="48"/>
  <c r="N53" i="48" s="1"/>
  <c r="D53" i="48"/>
  <c r="B53" i="48"/>
  <c r="Z52" i="48"/>
  <c r="X52" i="48"/>
  <c r="N52" i="48"/>
  <c r="L52" i="48"/>
  <c r="B52" i="48"/>
  <c r="X51" i="48"/>
  <c r="T51" i="48"/>
  <c r="Z51" i="48" s="1"/>
  <c r="P51" i="48"/>
  <c r="H51" i="48"/>
  <c r="L51" i="48" s="1"/>
  <c r="D51" i="48"/>
  <c r="B51" i="48"/>
  <c r="Z50" i="48"/>
  <c r="X50" i="48"/>
  <c r="N50" i="48"/>
  <c r="L50" i="48"/>
  <c r="B50" i="48"/>
  <c r="Z49" i="48"/>
  <c r="X49" i="48"/>
  <c r="R49" i="48"/>
  <c r="N49" i="48"/>
  <c r="L49" i="48"/>
  <c r="B49" i="48"/>
  <c r="T48" i="48"/>
  <c r="P48" i="48"/>
  <c r="X48" i="48" s="1"/>
  <c r="Z48" i="48" s="1"/>
  <c r="N48" i="48"/>
  <c r="L48" i="48"/>
  <c r="J48" i="48"/>
  <c r="H48" i="48"/>
  <c r="D48" i="48"/>
  <c r="B48" i="48"/>
  <c r="X47" i="48"/>
  <c r="Z47" i="48" s="1"/>
  <c r="R47" i="48"/>
  <c r="L47" i="48"/>
  <c r="N47" i="48" s="1"/>
  <c r="B47" i="48"/>
  <c r="Z46" i="48"/>
  <c r="X46" i="48"/>
  <c r="T46" i="48"/>
  <c r="R46" i="48"/>
  <c r="P46" i="48"/>
  <c r="H46" i="48"/>
  <c r="D46" i="48"/>
  <c r="B46" i="48"/>
  <c r="X45" i="48"/>
  <c r="Z45" i="48" s="1"/>
  <c r="L45" i="48"/>
  <c r="N45" i="48" s="1"/>
  <c r="B45" i="48"/>
  <c r="T44" i="48"/>
  <c r="R44" i="48"/>
  <c r="P44" i="48"/>
  <c r="H44" i="48"/>
  <c r="D44" i="48"/>
  <c r="L44" i="48" s="1"/>
  <c r="N44" i="48" s="1"/>
  <c r="B44" i="48"/>
  <c r="X43" i="48"/>
  <c r="Z43" i="48" s="1"/>
  <c r="L43" i="48"/>
  <c r="N43" i="48" s="1"/>
  <c r="B43" i="48"/>
  <c r="T42" i="48"/>
  <c r="P42" i="48"/>
  <c r="X42" i="48" s="1"/>
  <c r="Z42" i="48" s="1"/>
  <c r="J42" i="48"/>
  <c r="H42" i="48"/>
  <c r="D42" i="48"/>
  <c r="L42" i="48" s="1"/>
  <c r="N42" i="48" s="1"/>
  <c r="B42" i="48"/>
  <c r="Z41" i="48"/>
  <c r="X41" i="48"/>
  <c r="R41" i="48"/>
  <c r="N41" i="48"/>
  <c r="L41" i="48"/>
  <c r="B41" i="48"/>
  <c r="Z40" i="48"/>
  <c r="X40" i="48"/>
  <c r="N40" i="48"/>
  <c r="L40" i="48"/>
  <c r="B40" i="48"/>
  <c r="X39" i="48"/>
  <c r="Z39" i="48" s="1"/>
  <c r="L39" i="48"/>
  <c r="N39" i="48" s="1"/>
  <c r="B39" i="48"/>
  <c r="Z38" i="48"/>
  <c r="X38" i="48"/>
  <c r="N38" i="48"/>
  <c r="L38" i="48"/>
  <c r="J38" i="48"/>
  <c r="B38" i="48"/>
  <c r="Z37" i="48"/>
  <c r="X37" i="48"/>
  <c r="N37" i="48"/>
  <c r="L37" i="48"/>
  <c r="B37" i="48"/>
  <c r="Z36" i="48"/>
  <c r="X36" i="48"/>
  <c r="N36" i="48"/>
  <c r="L36" i="48"/>
  <c r="J36" i="48"/>
  <c r="B36" i="48"/>
  <c r="X35" i="48"/>
  <c r="Z35" i="48" s="1"/>
  <c r="R35" i="48"/>
  <c r="L35" i="48"/>
  <c r="N35" i="48" s="1"/>
  <c r="B35" i="48"/>
  <c r="Z34" i="48"/>
  <c r="X34" i="48"/>
  <c r="N34" i="48"/>
  <c r="L34" i="48"/>
  <c r="B34" i="48"/>
  <c r="X33" i="48"/>
  <c r="Z33" i="48" s="1"/>
  <c r="R33" i="48"/>
  <c r="N33" i="48"/>
  <c r="L33" i="48"/>
  <c r="B33" i="48"/>
  <c r="Z32" i="48"/>
  <c r="X32" i="48"/>
  <c r="L32" i="48"/>
  <c r="N32" i="48" s="1"/>
  <c r="B32" i="48"/>
  <c r="X31" i="48"/>
  <c r="T31" i="48"/>
  <c r="Z31" i="48" s="1"/>
  <c r="P31" i="48"/>
  <c r="H31" i="48"/>
  <c r="L31" i="48" s="1"/>
  <c r="D31" i="48"/>
  <c r="B31" i="48"/>
  <c r="Z30" i="48"/>
  <c r="X30" i="48"/>
  <c r="N30" i="48"/>
  <c r="L30" i="48"/>
  <c r="B30" i="48"/>
  <c r="X29" i="48"/>
  <c r="Z29" i="48" s="1"/>
  <c r="R29" i="48"/>
  <c r="L29" i="48"/>
  <c r="N29" i="48" s="1"/>
  <c r="B29" i="48"/>
  <c r="Z28" i="48"/>
  <c r="X28" i="48"/>
  <c r="L28" i="48"/>
  <c r="N28" i="48" s="1"/>
  <c r="B28" i="48"/>
  <c r="Z27" i="48"/>
  <c r="X27" i="48"/>
  <c r="N27" i="48"/>
  <c r="L27" i="48"/>
  <c r="B27" i="48"/>
  <c r="Z26" i="48"/>
  <c r="X26" i="48"/>
  <c r="N26" i="48"/>
  <c r="L26" i="48"/>
  <c r="J26" i="48"/>
  <c r="B26" i="48"/>
  <c r="X25" i="48"/>
  <c r="Z25" i="48" s="1"/>
  <c r="R25" i="48"/>
  <c r="L25" i="48"/>
  <c r="N25" i="48" s="1"/>
  <c r="B25" i="48"/>
  <c r="X24" i="48"/>
  <c r="Z24" i="48" s="1"/>
  <c r="N24" i="48"/>
  <c r="L24" i="48"/>
  <c r="J24" i="48"/>
  <c r="B24" i="48"/>
  <c r="X23" i="48"/>
  <c r="Z23" i="48" s="1"/>
  <c r="R23" i="48"/>
  <c r="L23" i="48"/>
  <c r="N23" i="48" s="1"/>
  <c r="B23" i="48"/>
  <c r="Z22" i="48"/>
  <c r="X22" i="48"/>
  <c r="N22" i="48"/>
  <c r="L22" i="48"/>
  <c r="B22" i="48"/>
  <c r="X21" i="48"/>
  <c r="Z21" i="48" s="1"/>
  <c r="R21" i="48"/>
  <c r="L21" i="48"/>
  <c r="N21" i="48" s="1"/>
  <c r="B21" i="48"/>
  <c r="T20" i="48"/>
  <c r="P20" i="48"/>
  <c r="X20" i="48" s="1"/>
  <c r="Z20" i="48" s="1"/>
  <c r="N20" i="48"/>
  <c r="L20" i="48"/>
  <c r="J20" i="48"/>
  <c r="H20" i="48"/>
  <c r="D20" i="48"/>
  <c r="B20" i="48"/>
  <c r="T19" i="48"/>
  <c r="Z19" i="48" s="1"/>
  <c r="P19" i="48"/>
  <c r="X19" i="48" s="1"/>
  <c r="H19" i="48"/>
  <c r="D19" i="48"/>
  <c r="L19" i="48" s="1"/>
  <c r="H17" i="48"/>
  <c r="H75" i="48" s="1"/>
  <c r="T15" i="48"/>
  <c r="Z15" i="48" s="1"/>
  <c r="P15" i="48"/>
  <c r="P17" i="48" s="1"/>
  <c r="H15" i="48"/>
  <c r="N15" i="48" s="1"/>
  <c r="D15" i="48"/>
  <c r="L15" i="48" s="1"/>
  <c r="X13" i="48"/>
  <c r="Z13" i="48" s="1"/>
  <c r="P13" i="48"/>
  <c r="D13" i="48"/>
  <c r="L13" i="48" s="1"/>
  <c r="N13" i="48" s="1"/>
  <c r="B13" i="48"/>
  <c r="T12" i="48"/>
  <c r="V72" i="48" s="1"/>
  <c r="P12" i="48"/>
  <c r="R66" i="48" s="1"/>
  <c r="H12" i="48"/>
  <c r="J70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V34" i="47" s="1"/>
  <c r="P12" i="47"/>
  <c r="H12" i="47"/>
  <c r="J21" i="47" s="1"/>
  <c r="D12" i="47"/>
  <c r="F34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P13" i="46"/>
  <c r="H13" i="46"/>
  <c r="N13" i="46" s="1"/>
  <c r="D13" i="46"/>
  <c r="B13" i="46"/>
  <c r="T12" i="46"/>
  <c r="V20" i="46" s="1"/>
  <c r="P12" i="46"/>
  <c r="R22" i="46" s="1"/>
  <c r="H12" i="46"/>
  <c r="J24" i="46" s="1"/>
  <c r="D12" i="46"/>
  <c r="F20" i="46" s="1"/>
  <c r="D5" i="46"/>
  <c r="D4" i="46"/>
  <c r="X101" i="45"/>
  <c r="Z101" i="45" s="1"/>
  <c r="L101" i="45"/>
  <c r="N101" i="45" s="1"/>
  <c r="X97" i="45"/>
  <c r="T97" i="45"/>
  <c r="Z97" i="45" s="1"/>
  <c r="P97" i="45"/>
  <c r="H97" i="45"/>
  <c r="N97" i="45" s="1"/>
  <c r="D97" i="45"/>
  <c r="L97" i="45" s="1"/>
  <c r="Z95" i="45"/>
  <c r="X95" i="45"/>
  <c r="N95" i="45"/>
  <c r="L95" i="45"/>
  <c r="B95" i="45"/>
  <c r="Z94" i="45"/>
  <c r="X94" i="45"/>
  <c r="N94" i="45"/>
  <c r="L94" i="45"/>
  <c r="B94" i="45"/>
  <c r="T93" i="45"/>
  <c r="Z93" i="45" s="1"/>
  <c r="P93" i="45"/>
  <c r="X93" i="45" s="1"/>
  <c r="H93" i="45"/>
  <c r="N93" i="45" s="1"/>
  <c r="D93" i="45"/>
  <c r="L93" i="45" s="1"/>
  <c r="B93" i="45"/>
  <c r="Z92" i="45"/>
  <c r="X92" i="45"/>
  <c r="N92" i="45"/>
  <c r="L92" i="45"/>
  <c r="B92" i="45"/>
  <c r="T91" i="45"/>
  <c r="Z91" i="45" s="1"/>
  <c r="P91" i="45"/>
  <c r="X91" i="45" s="1"/>
  <c r="L91" i="45"/>
  <c r="H91" i="45"/>
  <c r="N91" i="45" s="1"/>
  <c r="D91" i="45"/>
  <c r="B91" i="45"/>
  <c r="Z90" i="45"/>
  <c r="X90" i="45"/>
  <c r="N90" i="45"/>
  <c r="L90" i="45"/>
  <c r="B90" i="45"/>
  <c r="X89" i="45"/>
  <c r="Z89" i="45" s="1"/>
  <c r="L89" i="45"/>
  <c r="N89" i="45" s="1"/>
  <c r="B89" i="45"/>
  <c r="T88" i="45"/>
  <c r="P88" i="45"/>
  <c r="X88" i="45" s="1"/>
  <c r="Z88" i="45" s="1"/>
  <c r="N88" i="45"/>
  <c r="L88" i="45"/>
  <c r="H88" i="45"/>
  <c r="D88" i="45"/>
  <c r="B88" i="45"/>
  <c r="X87" i="45"/>
  <c r="Z87" i="45" s="1"/>
  <c r="L87" i="45"/>
  <c r="N87" i="45" s="1"/>
  <c r="B87" i="45"/>
  <c r="Z86" i="45"/>
  <c r="X86" i="45"/>
  <c r="N86" i="45"/>
  <c r="L86" i="45"/>
  <c r="B86" i="45"/>
  <c r="X85" i="45"/>
  <c r="Z85" i="45" s="1"/>
  <c r="L85" i="45"/>
  <c r="N85" i="45" s="1"/>
  <c r="B85" i="45"/>
  <c r="Z84" i="45"/>
  <c r="X84" i="45"/>
  <c r="N84" i="45"/>
  <c r="L84" i="45"/>
  <c r="J84" i="45"/>
  <c r="B84" i="45"/>
  <c r="X83" i="45"/>
  <c r="Z83" i="45" s="1"/>
  <c r="L83" i="45"/>
  <c r="N83" i="45" s="1"/>
  <c r="B83" i="45"/>
  <c r="Z82" i="45"/>
  <c r="X82" i="45"/>
  <c r="N82" i="45"/>
  <c r="L82" i="45"/>
  <c r="B82" i="45"/>
  <c r="X81" i="45"/>
  <c r="Z81" i="45" s="1"/>
  <c r="L81" i="45"/>
  <c r="N81" i="45" s="1"/>
  <c r="B81" i="45"/>
  <c r="Z80" i="45"/>
  <c r="X80" i="45"/>
  <c r="N80" i="45"/>
  <c r="L80" i="45"/>
  <c r="B80" i="45"/>
  <c r="X79" i="45"/>
  <c r="T79" i="45"/>
  <c r="Z79" i="45" s="1"/>
  <c r="P79" i="45"/>
  <c r="H79" i="45"/>
  <c r="D79" i="45"/>
  <c r="L79" i="45" s="1"/>
  <c r="B79" i="45"/>
  <c r="Z78" i="45"/>
  <c r="X78" i="45"/>
  <c r="N78" i="45"/>
  <c r="L78" i="45"/>
  <c r="B78" i="45"/>
  <c r="T77" i="45"/>
  <c r="P77" i="45"/>
  <c r="X77" i="45" s="1"/>
  <c r="H77" i="45"/>
  <c r="N77" i="45" s="1"/>
  <c r="D77" i="45"/>
  <c r="L77" i="45" s="1"/>
  <c r="B77" i="45"/>
  <c r="Z76" i="45"/>
  <c r="X76" i="45"/>
  <c r="N76" i="45"/>
  <c r="L76" i="45"/>
  <c r="J76" i="45"/>
  <c r="B76" i="45"/>
  <c r="X75" i="45"/>
  <c r="Z75" i="45" s="1"/>
  <c r="L75" i="45"/>
  <c r="N75" i="45" s="1"/>
  <c r="B75" i="45"/>
  <c r="Z74" i="45"/>
  <c r="X74" i="45"/>
  <c r="N74" i="45"/>
  <c r="L74" i="45"/>
  <c r="J74" i="45"/>
  <c r="B74" i="45"/>
  <c r="X73" i="45"/>
  <c r="Z73" i="45" s="1"/>
  <c r="L73" i="45"/>
  <c r="N73" i="45" s="1"/>
  <c r="B73" i="45"/>
  <c r="Z72" i="45"/>
  <c r="X72" i="45"/>
  <c r="T72" i="45"/>
  <c r="P72" i="45"/>
  <c r="H72" i="45"/>
  <c r="D72" i="45"/>
  <c r="L72" i="45" s="1"/>
  <c r="B72" i="45"/>
  <c r="X71" i="45"/>
  <c r="Z71" i="45" s="1"/>
  <c r="L71" i="45"/>
  <c r="N71" i="45" s="1"/>
  <c r="B71" i="45"/>
  <c r="Z70" i="45"/>
  <c r="X70" i="45"/>
  <c r="N70" i="45"/>
  <c r="L70" i="45"/>
  <c r="J70" i="45"/>
  <c r="B70" i="45"/>
  <c r="X69" i="45"/>
  <c r="Z69" i="45" s="1"/>
  <c r="L69" i="45"/>
  <c r="N69" i="45" s="1"/>
  <c r="B69" i="45"/>
  <c r="Z68" i="45"/>
  <c r="X68" i="45"/>
  <c r="T68" i="45"/>
  <c r="P68" i="45"/>
  <c r="H68" i="45"/>
  <c r="N68" i="45" s="1"/>
  <c r="D68" i="45"/>
  <c r="L68" i="45" s="1"/>
  <c r="B68" i="45"/>
  <c r="X67" i="45"/>
  <c r="Z67" i="45" s="1"/>
  <c r="L67" i="45"/>
  <c r="N67" i="45" s="1"/>
  <c r="B67" i="45"/>
  <c r="T66" i="45"/>
  <c r="P66" i="45"/>
  <c r="X66" i="45" s="1"/>
  <c r="H66" i="45"/>
  <c r="D66" i="45"/>
  <c r="L66" i="45" s="1"/>
  <c r="N66" i="45" s="1"/>
  <c r="B66" i="45"/>
  <c r="X65" i="45"/>
  <c r="Z65" i="45" s="1"/>
  <c r="L65" i="45"/>
  <c r="N65" i="45" s="1"/>
  <c r="B65" i="45"/>
  <c r="T64" i="45"/>
  <c r="P64" i="45"/>
  <c r="X64" i="45" s="1"/>
  <c r="Z64" i="45" s="1"/>
  <c r="N64" i="45"/>
  <c r="L64" i="45"/>
  <c r="J64" i="45"/>
  <c r="H64" i="45"/>
  <c r="D64" i="45"/>
  <c r="B64" i="45"/>
  <c r="X63" i="45"/>
  <c r="Z63" i="45" s="1"/>
  <c r="N63" i="45"/>
  <c r="L63" i="45"/>
  <c r="B63" i="45"/>
  <c r="Z62" i="45"/>
  <c r="X62" i="45"/>
  <c r="T62" i="45"/>
  <c r="P62" i="45"/>
  <c r="N62" i="45"/>
  <c r="L62" i="45"/>
  <c r="J62" i="45"/>
  <c r="H62" i="45"/>
  <c r="D62" i="45"/>
  <c r="B62" i="45"/>
  <c r="X61" i="45"/>
  <c r="Z61" i="45" s="1"/>
  <c r="L61" i="45"/>
  <c r="N61" i="45" s="1"/>
  <c r="B61" i="45"/>
  <c r="Z60" i="45"/>
  <c r="X60" i="45"/>
  <c r="T60" i="45"/>
  <c r="P60" i="45"/>
  <c r="H60" i="45"/>
  <c r="N60" i="45" s="1"/>
  <c r="D60" i="45"/>
  <c r="L60" i="45" s="1"/>
  <c r="B60" i="45"/>
  <c r="Z59" i="45"/>
  <c r="X59" i="45"/>
  <c r="L59" i="45"/>
  <c r="N59" i="45" s="1"/>
  <c r="B59" i="45"/>
  <c r="T58" i="45"/>
  <c r="P58" i="45"/>
  <c r="X58" i="45" s="1"/>
  <c r="H58" i="45"/>
  <c r="D58" i="45"/>
  <c r="L58" i="45" s="1"/>
  <c r="N58" i="45" s="1"/>
  <c r="B58" i="45"/>
  <c r="X57" i="45"/>
  <c r="Z57" i="45" s="1"/>
  <c r="L57" i="45"/>
  <c r="N57" i="45" s="1"/>
  <c r="B57" i="45"/>
  <c r="T56" i="45"/>
  <c r="P56" i="45"/>
  <c r="X56" i="45" s="1"/>
  <c r="Z56" i="45" s="1"/>
  <c r="N56" i="45"/>
  <c r="L56" i="45"/>
  <c r="J56" i="45"/>
  <c r="H56" i="45"/>
  <c r="D56" i="45"/>
  <c r="B56" i="45"/>
  <c r="X55" i="45"/>
  <c r="Z55" i="45" s="1"/>
  <c r="N55" i="45"/>
  <c r="L55" i="45"/>
  <c r="B55" i="45"/>
  <c r="Z54" i="45"/>
  <c r="X54" i="45"/>
  <c r="T54" i="45"/>
  <c r="P54" i="45"/>
  <c r="N54" i="45"/>
  <c r="L54" i="45"/>
  <c r="J54" i="45"/>
  <c r="H54" i="45"/>
  <c r="D54" i="45"/>
  <c r="B54" i="45"/>
  <c r="X53" i="45"/>
  <c r="Z53" i="45" s="1"/>
  <c r="L53" i="45"/>
  <c r="N53" i="45" s="1"/>
  <c r="B53" i="45"/>
  <c r="Z52" i="45"/>
  <c r="X52" i="45"/>
  <c r="T52" i="45"/>
  <c r="P52" i="45"/>
  <c r="H52" i="45"/>
  <c r="D52" i="45"/>
  <c r="L52" i="45" s="1"/>
  <c r="B52" i="45"/>
  <c r="Z51" i="45"/>
  <c r="X51" i="45"/>
  <c r="L51" i="45"/>
  <c r="N51" i="45" s="1"/>
  <c r="B51" i="45"/>
  <c r="T50" i="45"/>
  <c r="P50" i="45"/>
  <c r="X50" i="45" s="1"/>
  <c r="H50" i="45"/>
  <c r="D50" i="45"/>
  <c r="L50" i="45" s="1"/>
  <c r="N50" i="45" s="1"/>
  <c r="B50" i="45"/>
  <c r="X49" i="45"/>
  <c r="Z49" i="45" s="1"/>
  <c r="L49" i="45"/>
  <c r="N49" i="45" s="1"/>
  <c r="B49" i="45"/>
  <c r="T48" i="45"/>
  <c r="P48" i="45"/>
  <c r="X48" i="45" s="1"/>
  <c r="Z48" i="45" s="1"/>
  <c r="N48" i="45"/>
  <c r="L48" i="45"/>
  <c r="J48" i="45"/>
  <c r="H48" i="45"/>
  <c r="D48" i="45"/>
  <c r="B48" i="45"/>
  <c r="Z47" i="45"/>
  <c r="X47" i="45"/>
  <c r="N47" i="45"/>
  <c r="L47" i="45"/>
  <c r="B47" i="45"/>
  <c r="Z46" i="45"/>
  <c r="X46" i="45"/>
  <c r="N46" i="45"/>
  <c r="L46" i="45"/>
  <c r="B46" i="45"/>
  <c r="X45" i="45"/>
  <c r="Z45" i="45" s="1"/>
  <c r="L45" i="45"/>
  <c r="N45" i="45" s="1"/>
  <c r="B45" i="45"/>
  <c r="Z44" i="45"/>
  <c r="X44" i="45"/>
  <c r="N44" i="45"/>
  <c r="L44" i="45"/>
  <c r="J44" i="45"/>
  <c r="B44" i="45"/>
  <c r="Z43" i="45"/>
  <c r="X43" i="45"/>
  <c r="N43" i="45"/>
  <c r="L43" i="45"/>
  <c r="B43" i="45"/>
  <c r="Z42" i="45"/>
  <c r="X42" i="45"/>
  <c r="N42" i="45"/>
  <c r="L42" i="45"/>
  <c r="J42" i="45"/>
  <c r="B42" i="45"/>
  <c r="X41" i="45"/>
  <c r="Z41" i="45" s="1"/>
  <c r="L41" i="45"/>
  <c r="N41" i="45" s="1"/>
  <c r="B41" i="45"/>
  <c r="Z40" i="45"/>
  <c r="X40" i="45"/>
  <c r="N40" i="45"/>
  <c r="L40" i="45"/>
  <c r="B40" i="45"/>
  <c r="X39" i="45"/>
  <c r="Z39" i="45" s="1"/>
  <c r="N39" i="45"/>
  <c r="L39" i="45"/>
  <c r="B39" i="45"/>
  <c r="Z38" i="45"/>
  <c r="X38" i="45"/>
  <c r="N38" i="45"/>
  <c r="L38" i="45"/>
  <c r="B38" i="45"/>
  <c r="X37" i="45"/>
  <c r="Z37" i="45" s="1"/>
  <c r="T37" i="45"/>
  <c r="P37" i="45"/>
  <c r="L37" i="45"/>
  <c r="H37" i="45"/>
  <c r="N37" i="45" s="1"/>
  <c r="D37" i="45"/>
  <c r="B37" i="45"/>
  <c r="Z36" i="45"/>
  <c r="X36" i="45"/>
  <c r="N36" i="45"/>
  <c r="L36" i="45"/>
  <c r="B36" i="45"/>
  <c r="X35" i="45"/>
  <c r="Z35" i="45" s="1"/>
  <c r="N35" i="45"/>
  <c r="L35" i="45"/>
  <c r="B35" i="45"/>
  <c r="Z34" i="45"/>
  <c r="X34" i="45"/>
  <c r="N34" i="45"/>
  <c r="L34" i="45"/>
  <c r="B34" i="45"/>
  <c r="Z33" i="45"/>
  <c r="X33" i="45"/>
  <c r="N33" i="45"/>
  <c r="L33" i="45"/>
  <c r="B33" i="45"/>
  <c r="Z32" i="45"/>
  <c r="X32" i="45"/>
  <c r="N32" i="45"/>
  <c r="L32" i="45"/>
  <c r="J32" i="45"/>
  <c r="B32" i="45"/>
  <c r="Z31" i="45"/>
  <c r="X31" i="45"/>
  <c r="L31" i="45"/>
  <c r="N31" i="45" s="1"/>
  <c r="B31" i="45"/>
  <c r="Z30" i="45"/>
  <c r="X30" i="45"/>
  <c r="N30" i="45"/>
  <c r="L30" i="45"/>
  <c r="J30" i="45"/>
  <c r="B30" i="45"/>
  <c r="X29" i="45"/>
  <c r="Z29" i="45" s="1"/>
  <c r="L29" i="45"/>
  <c r="N29" i="45" s="1"/>
  <c r="B29" i="45"/>
  <c r="Z28" i="45"/>
  <c r="X28" i="45"/>
  <c r="N28" i="45"/>
  <c r="L28" i="45"/>
  <c r="B28" i="45"/>
  <c r="X27" i="45"/>
  <c r="Z27" i="45" s="1"/>
  <c r="N27" i="45"/>
  <c r="L27" i="45"/>
  <c r="B27" i="45"/>
  <c r="Z26" i="45"/>
  <c r="X26" i="45"/>
  <c r="T26" i="45"/>
  <c r="P26" i="45"/>
  <c r="N26" i="45"/>
  <c r="L26" i="45"/>
  <c r="J26" i="45"/>
  <c r="H26" i="45"/>
  <c r="D26" i="45"/>
  <c r="B26" i="45"/>
  <c r="T25" i="45"/>
  <c r="P25" i="45"/>
  <c r="X25" i="45" s="1"/>
  <c r="H25" i="45"/>
  <c r="D25" i="45"/>
  <c r="L25" i="45" s="1"/>
  <c r="H23" i="45"/>
  <c r="H99" i="45" s="1"/>
  <c r="Z21" i="45"/>
  <c r="X21" i="45"/>
  <c r="N21" i="45"/>
  <c r="L21" i="45"/>
  <c r="B21" i="45"/>
  <c r="Z20" i="45"/>
  <c r="X20" i="45"/>
  <c r="V20" i="45"/>
  <c r="N20" i="45"/>
  <c r="L20" i="45"/>
  <c r="B20" i="45"/>
  <c r="X19" i="45"/>
  <c r="Z19" i="45" s="1"/>
  <c r="N19" i="45"/>
  <c r="L19" i="45"/>
  <c r="B19" i="45"/>
  <c r="Z18" i="45"/>
  <c r="X18" i="45"/>
  <c r="T18" i="45"/>
  <c r="P18" i="45"/>
  <c r="N18" i="45"/>
  <c r="L18" i="45"/>
  <c r="J18" i="45"/>
  <c r="H18" i="45"/>
  <c r="D18" i="45"/>
  <c r="Z16" i="45"/>
  <c r="P16" i="45"/>
  <c r="P12" i="45" s="1"/>
  <c r="N16" i="45"/>
  <c r="L16" i="45"/>
  <c r="D16" i="45"/>
  <c r="B16" i="45"/>
  <c r="Z15" i="45"/>
  <c r="P15" i="45"/>
  <c r="X15" i="45" s="1"/>
  <c r="N15" i="45"/>
  <c r="D15" i="45"/>
  <c r="L15" i="45" s="1"/>
  <c r="B15" i="45"/>
  <c r="Z14" i="45"/>
  <c r="X14" i="45"/>
  <c r="P14" i="45"/>
  <c r="L14" i="45"/>
  <c r="N14" i="45" s="1"/>
  <c r="D14" i="45"/>
  <c r="B14" i="45"/>
  <c r="Z13" i="45"/>
  <c r="X13" i="45"/>
  <c r="P13" i="45"/>
  <c r="N13" i="45"/>
  <c r="D13" i="45"/>
  <c r="L13" i="45" s="1"/>
  <c r="B13" i="45"/>
  <c r="T12" i="45"/>
  <c r="V80" i="45" s="1"/>
  <c r="H12" i="45"/>
  <c r="J92" i="45" s="1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20" i="44" s="1"/>
  <c r="P12" i="44"/>
  <c r="R34" i="44" s="1"/>
  <c r="H12" i="44"/>
  <c r="J21" i="44" s="1"/>
  <c r="D12" i="44"/>
  <c r="F34" i="44" s="1"/>
  <c r="D5" i="44"/>
  <c r="D4" i="44"/>
  <c r="B39" i="43"/>
  <c r="B38" i="43"/>
  <c r="T34" i="43"/>
  <c r="Z34" i="43" s="1"/>
  <c r="P34" i="43"/>
  <c r="H34" i="43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P13" i="43"/>
  <c r="H13" i="43"/>
  <c r="N13" i="43" s="1"/>
  <c r="D13" i="43"/>
  <c r="B13" i="43"/>
  <c r="T12" i="43"/>
  <c r="V24" i="43" s="1"/>
  <c r="P12" i="43"/>
  <c r="R22" i="43" s="1"/>
  <c r="H12" i="43"/>
  <c r="J24" i="43" s="1"/>
  <c r="D12" i="43"/>
  <c r="D5" i="43"/>
  <c r="D4" i="43"/>
  <c r="X110" i="42"/>
  <c r="Z110" i="42" s="1"/>
  <c r="L110" i="42"/>
  <c r="N110" i="42" s="1"/>
  <c r="Z106" i="42"/>
  <c r="X106" i="42"/>
  <c r="R106" i="42"/>
  <c r="P106" i="42"/>
  <c r="N106" i="42"/>
  <c r="D106" i="42"/>
  <c r="L106" i="42" s="1"/>
  <c r="B106" i="42"/>
  <c r="Z105" i="42"/>
  <c r="P105" i="42"/>
  <c r="X105" i="42" s="1"/>
  <c r="N105" i="42"/>
  <c r="L105" i="42"/>
  <c r="D105" i="42"/>
  <c r="B105" i="42"/>
  <c r="X104" i="42"/>
  <c r="Z104" i="42" s="1"/>
  <c r="P104" i="42"/>
  <c r="P103" i="42" s="1"/>
  <c r="X103" i="42" s="1"/>
  <c r="D104" i="42"/>
  <c r="L104" i="42" s="1"/>
  <c r="N104" i="42" s="1"/>
  <c r="B104" i="42"/>
  <c r="Z103" i="42"/>
  <c r="T103" i="42"/>
  <c r="H103" i="42"/>
  <c r="Z101" i="42"/>
  <c r="X101" i="42"/>
  <c r="N101" i="42"/>
  <c r="L101" i="42"/>
  <c r="B101" i="42"/>
  <c r="T100" i="42"/>
  <c r="P100" i="42"/>
  <c r="X100" i="42" s="1"/>
  <c r="H100" i="42"/>
  <c r="N100" i="42" s="1"/>
  <c r="D100" i="42"/>
  <c r="L100" i="42" s="1"/>
  <c r="B100" i="42"/>
  <c r="Z99" i="42"/>
  <c r="X99" i="42"/>
  <c r="N99" i="42"/>
  <c r="L99" i="42"/>
  <c r="B99" i="42"/>
  <c r="T98" i="42"/>
  <c r="Z98" i="42" s="1"/>
  <c r="P98" i="42"/>
  <c r="X98" i="42" s="1"/>
  <c r="N98" i="42"/>
  <c r="L98" i="42"/>
  <c r="H98" i="42"/>
  <c r="D98" i="42"/>
  <c r="B98" i="42"/>
  <c r="Z97" i="42"/>
  <c r="X97" i="42"/>
  <c r="N97" i="42"/>
  <c r="L97" i="42"/>
  <c r="B97" i="42"/>
  <c r="X96" i="42"/>
  <c r="Z96" i="42" s="1"/>
  <c r="T96" i="42"/>
  <c r="P96" i="42"/>
  <c r="L96" i="42"/>
  <c r="H96" i="42"/>
  <c r="N96" i="42" s="1"/>
  <c r="D96" i="42"/>
  <c r="B96" i="42"/>
  <c r="Z95" i="42"/>
  <c r="X95" i="42"/>
  <c r="N95" i="42"/>
  <c r="L95" i="42"/>
  <c r="B95" i="42"/>
  <c r="X94" i="42"/>
  <c r="Z94" i="42" s="1"/>
  <c r="L94" i="42"/>
  <c r="N94" i="42" s="1"/>
  <c r="B94" i="42"/>
  <c r="Z93" i="42"/>
  <c r="X93" i="42"/>
  <c r="T93" i="42"/>
  <c r="P93" i="42"/>
  <c r="N93" i="42"/>
  <c r="L93" i="42"/>
  <c r="H93" i="42"/>
  <c r="D93" i="42"/>
  <c r="B93" i="42"/>
  <c r="X92" i="42"/>
  <c r="Z92" i="42" s="1"/>
  <c r="L92" i="42"/>
  <c r="N92" i="42" s="1"/>
  <c r="B92" i="42"/>
  <c r="Z91" i="42"/>
  <c r="X91" i="42"/>
  <c r="N91" i="42"/>
  <c r="L91" i="42"/>
  <c r="B91" i="42"/>
  <c r="X90" i="42"/>
  <c r="Z90" i="42" s="1"/>
  <c r="L90" i="42"/>
  <c r="N90" i="42" s="1"/>
  <c r="B90" i="42"/>
  <c r="Z89" i="42"/>
  <c r="X89" i="42"/>
  <c r="N89" i="42"/>
  <c r="L89" i="42"/>
  <c r="B89" i="42"/>
  <c r="X88" i="42"/>
  <c r="Z88" i="42" s="1"/>
  <c r="L88" i="42"/>
  <c r="N88" i="42" s="1"/>
  <c r="B88" i="42"/>
  <c r="Z87" i="42"/>
  <c r="X87" i="42"/>
  <c r="N87" i="42"/>
  <c r="L87" i="42"/>
  <c r="B87" i="42"/>
  <c r="X86" i="42"/>
  <c r="Z86" i="42" s="1"/>
  <c r="N86" i="42"/>
  <c r="L86" i="42"/>
  <c r="B86" i="42"/>
  <c r="Z85" i="42"/>
  <c r="X85" i="42"/>
  <c r="N85" i="42"/>
  <c r="L85" i="42"/>
  <c r="B85" i="42"/>
  <c r="X84" i="42"/>
  <c r="Z84" i="42" s="1"/>
  <c r="L84" i="42"/>
  <c r="N84" i="42" s="1"/>
  <c r="B84" i="42"/>
  <c r="Z83" i="42"/>
  <c r="X83" i="42"/>
  <c r="T83" i="42"/>
  <c r="P83" i="42"/>
  <c r="H83" i="42"/>
  <c r="D83" i="42"/>
  <c r="L83" i="42" s="1"/>
  <c r="B83" i="42"/>
  <c r="X82" i="42"/>
  <c r="Z82" i="42" s="1"/>
  <c r="L82" i="42"/>
  <c r="N82" i="42" s="1"/>
  <c r="B82" i="42"/>
  <c r="T81" i="42"/>
  <c r="P81" i="42"/>
  <c r="X81" i="42" s="1"/>
  <c r="H81" i="42"/>
  <c r="D81" i="42"/>
  <c r="L81" i="42" s="1"/>
  <c r="N81" i="42" s="1"/>
  <c r="B81" i="42"/>
  <c r="X80" i="42"/>
  <c r="Z80" i="42" s="1"/>
  <c r="L80" i="42"/>
  <c r="N80" i="42" s="1"/>
  <c r="B80" i="42"/>
  <c r="Z79" i="42"/>
  <c r="X79" i="42"/>
  <c r="N79" i="42"/>
  <c r="L79" i="42"/>
  <c r="B79" i="42"/>
  <c r="X78" i="42"/>
  <c r="Z78" i="42" s="1"/>
  <c r="L78" i="42"/>
  <c r="N78" i="42" s="1"/>
  <c r="B78" i="42"/>
  <c r="Z77" i="42"/>
  <c r="X77" i="42"/>
  <c r="N77" i="42"/>
  <c r="L77" i="42"/>
  <c r="B77" i="42"/>
  <c r="X76" i="42"/>
  <c r="Z76" i="42" s="1"/>
  <c r="L76" i="42"/>
  <c r="N76" i="42" s="1"/>
  <c r="B76" i="42"/>
  <c r="Z75" i="42"/>
  <c r="X75" i="42"/>
  <c r="T75" i="42"/>
  <c r="P75" i="42"/>
  <c r="H75" i="42"/>
  <c r="N75" i="42" s="1"/>
  <c r="D75" i="42"/>
  <c r="L75" i="42" s="1"/>
  <c r="B75" i="42"/>
  <c r="Z74" i="42"/>
  <c r="X74" i="42"/>
  <c r="N74" i="42"/>
  <c r="L74" i="42"/>
  <c r="B74" i="42"/>
  <c r="T73" i="42"/>
  <c r="Z73" i="42" s="1"/>
  <c r="P73" i="42"/>
  <c r="X73" i="42" s="1"/>
  <c r="N73" i="42"/>
  <c r="H73" i="42"/>
  <c r="D73" i="42"/>
  <c r="L73" i="42" s="1"/>
  <c r="B73" i="42"/>
  <c r="X72" i="42"/>
  <c r="Z72" i="42" s="1"/>
  <c r="L72" i="42"/>
  <c r="N72" i="42" s="1"/>
  <c r="B72" i="42"/>
  <c r="Z71" i="42"/>
  <c r="X71" i="42"/>
  <c r="N71" i="42"/>
  <c r="L71" i="42"/>
  <c r="B71" i="42"/>
  <c r="Z70" i="42"/>
  <c r="X70" i="42"/>
  <c r="N70" i="42"/>
  <c r="L70" i="42"/>
  <c r="B70" i="42"/>
  <c r="T69" i="42"/>
  <c r="Z69" i="42" s="1"/>
  <c r="P69" i="42"/>
  <c r="X69" i="42" s="1"/>
  <c r="H69" i="42"/>
  <c r="D69" i="42"/>
  <c r="L69" i="42" s="1"/>
  <c r="N69" i="42" s="1"/>
  <c r="B69" i="42"/>
  <c r="X68" i="42"/>
  <c r="Z68" i="42" s="1"/>
  <c r="L68" i="42"/>
  <c r="N68" i="42" s="1"/>
  <c r="B68" i="42"/>
  <c r="T67" i="42"/>
  <c r="P67" i="42"/>
  <c r="X67" i="42" s="1"/>
  <c r="Z67" i="42" s="1"/>
  <c r="N67" i="42"/>
  <c r="L67" i="42"/>
  <c r="H67" i="42"/>
  <c r="D67" i="42"/>
  <c r="B67" i="42"/>
  <c r="X66" i="42"/>
  <c r="Z66" i="42" s="1"/>
  <c r="L66" i="42"/>
  <c r="N66" i="42" s="1"/>
  <c r="B66" i="42"/>
  <c r="Z65" i="42"/>
  <c r="X65" i="42"/>
  <c r="T65" i="42"/>
  <c r="P65" i="42"/>
  <c r="L65" i="42"/>
  <c r="H65" i="42"/>
  <c r="N65" i="42" s="1"/>
  <c r="D65" i="42"/>
  <c r="B65" i="42"/>
  <c r="X64" i="42"/>
  <c r="Z64" i="42" s="1"/>
  <c r="R64" i="42"/>
  <c r="L64" i="42"/>
  <c r="N64" i="42" s="1"/>
  <c r="B64" i="42"/>
  <c r="X63" i="42"/>
  <c r="T63" i="42"/>
  <c r="Z63" i="42" s="1"/>
  <c r="P63" i="42"/>
  <c r="H63" i="42"/>
  <c r="D63" i="42"/>
  <c r="B63" i="42"/>
  <c r="X62" i="42"/>
  <c r="Z62" i="42" s="1"/>
  <c r="L62" i="42"/>
  <c r="N62" i="42" s="1"/>
  <c r="J62" i="42"/>
  <c r="B62" i="42"/>
  <c r="T61" i="42"/>
  <c r="P61" i="42"/>
  <c r="H61" i="42"/>
  <c r="D61" i="42"/>
  <c r="L61" i="42" s="1"/>
  <c r="N61" i="42" s="1"/>
  <c r="B61" i="42"/>
  <c r="Z60" i="42"/>
  <c r="X60" i="42"/>
  <c r="L60" i="42"/>
  <c r="N60" i="42" s="1"/>
  <c r="B60" i="42"/>
  <c r="Z59" i="42"/>
  <c r="T59" i="42"/>
  <c r="P59" i="42"/>
  <c r="X59" i="42" s="1"/>
  <c r="L59" i="42"/>
  <c r="N59" i="42" s="1"/>
  <c r="J59" i="42"/>
  <c r="H59" i="42"/>
  <c r="D59" i="42"/>
  <c r="B59" i="42"/>
  <c r="Z58" i="42"/>
  <c r="X58" i="42"/>
  <c r="N58" i="42"/>
  <c r="L58" i="42"/>
  <c r="B58" i="42"/>
  <c r="Z57" i="42"/>
  <c r="X57" i="42"/>
  <c r="T57" i="42"/>
  <c r="P57" i="42"/>
  <c r="N57" i="42"/>
  <c r="L57" i="42"/>
  <c r="J57" i="42"/>
  <c r="H57" i="42"/>
  <c r="D57" i="42"/>
  <c r="B57" i="42"/>
  <c r="X56" i="42"/>
  <c r="Z56" i="42" s="1"/>
  <c r="N56" i="42"/>
  <c r="L56" i="42"/>
  <c r="B56" i="42"/>
  <c r="Z55" i="42"/>
  <c r="X55" i="42"/>
  <c r="V55" i="42"/>
  <c r="N55" i="42"/>
  <c r="L55" i="42"/>
  <c r="B55" i="42"/>
  <c r="T54" i="42"/>
  <c r="P54" i="42"/>
  <c r="L54" i="42"/>
  <c r="J54" i="42"/>
  <c r="H54" i="42"/>
  <c r="D54" i="42"/>
  <c r="B54" i="42"/>
  <c r="Z53" i="42"/>
  <c r="X53" i="42"/>
  <c r="N53" i="42"/>
  <c r="L53" i="42"/>
  <c r="B53" i="42"/>
  <c r="X52" i="42"/>
  <c r="T52" i="42"/>
  <c r="P52" i="42"/>
  <c r="H52" i="42"/>
  <c r="D52" i="42"/>
  <c r="B52" i="42"/>
  <c r="Z51" i="42"/>
  <c r="X51" i="42"/>
  <c r="N51" i="42"/>
  <c r="L51" i="42"/>
  <c r="B51" i="42"/>
  <c r="T50" i="42"/>
  <c r="P50" i="42"/>
  <c r="N50" i="42"/>
  <c r="L50" i="42"/>
  <c r="H50" i="42"/>
  <c r="D50" i="42"/>
  <c r="B50" i="42"/>
  <c r="Z49" i="42"/>
  <c r="X49" i="42"/>
  <c r="N49" i="42"/>
  <c r="L49" i="42"/>
  <c r="B49" i="42"/>
  <c r="Z48" i="42"/>
  <c r="T48" i="42"/>
  <c r="X48" i="42" s="1"/>
  <c r="P48" i="42"/>
  <c r="H48" i="42"/>
  <c r="N48" i="42" s="1"/>
  <c r="D48" i="42"/>
  <c r="L48" i="42" s="1"/>
  <c r="B48" i="42"/>
  <c r="Z47" i="42"/>
  <c r="X47" i="42"/>
  <c r="N47" i="42"/>
  <c r="L47" i="42"/>
  <c r="B47" i="42"/>
  <c r="Z46" i="42"/>
  <c r="X46" i="42"/>
  <c r="N46" i="42"/>
  <c r="L46" i="42"/>
  <c r="B46" i="42"/>
  <c r="Z45" i="42"/>
  <c r="X45" i="42"/>
  <c r="N45" i="42"/>
  <c r="L45" i="42"/>
  <c r="B45" i="42"/>
  <c r="Z44" i="42"/>
  <c r="X44" i="42"/>
  <c r="R44" i="42"/>
  <c r="L44" i="42"/>
  <c r="N44" i="42" s="1"/>
  <c r="B44" i="42"/>
  <c r="Z43" i="42"/>
  <c r="X43" i="42"/>
  <c r="R43" i="42"/>
  <c r="N43" i="42"/>
  <c r="L43" i="42"/>
  <c r="J43" i="42"/>
  <c r="B43" i="42"/>
  <c r="X42" i="42"/>
  <c r="Z42" i="42" s="1"/>
  <c r="V42" i="42"/>
  <c r="L42" i="42"/>
  <c r="N42" i="42" s="1"/>
  <c r="B42" i="42"/>
  <c r="X41" i="42"/>
  <c r="Z41" i="42" s="1"/>
  <c r="N41" i="42"/>
  <c r="L41" i="42"/>
  <c r="B41" i="42"/>
  <c r="Z40" i="42"/>
  <c r="X40" i="42"/>
  <c r="N40" i="42"/>
  <c r="L40" i="42"/>
  <c r="B40" i="42"/>
  <c r="Z39" i="42"/>
  <c r="X39" i="42"/>
  <c r="V39" i="42"/>
  <c r="N39" i="42"/>
  <c r="L39" i="42"/>
  <c r="B39" i="42"/>
  <c r="X38" i="42"/>
  <c r="Z38" i="42" s="1"/>
  <c r="L38" i="42"/>
  <c r="N38" i="42" s="1"/>
  <c r="J38" i="42"/>
  <c r="B38" i="42"/>
  <c r="T37" i="42"/>
  <c r="P37" i="42"/>
  <c r="X37" i="42" s="1"/>
  <c r="Z37" i="42" s="1"/>
  <c r="N37" i="42"/>
  <c r="L37" i="42"/>
  <c r="J37" i="42"/>
  <c r="H37" i="42"/>
  <c r="D37" i="42"/>
  <c r="B37" i="42"/>
  <c r="Z36" i="42"/>
  <c r="X36" i="42"/>
  <c r="N36" i="42"/>
  <c r="L36" i="42"/>
  <c r="B36" i="42"/>
  <c r="Z35" i="42"/>
  <c r="X35" i="42"/>
  <c r="V35" i="42"/>
  <c r="N35" i="42"/>
  <c r="L35" i="42"/>
  <c r="B35" i="42"/>
  <c r="X34" i="42"/>
  <c r="Z34" i="42" s="1"/>
  <c r="L34" i="42"/>
  <c r="N34" i="42" s="1"/>
  <c r="J34" i="42"/>
  <c r="B34" i="42"/>
  <c r="Z33" i="42"/>
  <c r="X33" i="42"/>
  <c r="N33" i="42"/>
  <c r="L33" i="42"/>
  <c r="J33" i="42"/>
  <c r="B33" i="42"/>
  <c r="Z32" i="42"/>
  <c r="X32" i="42"/>
  <c r="N32" i="42"/>
  <c r="L32" i="42"/>
  <c r="J32" i="42"/>
  <c r="B32" i="42"/>
  <c r="Z31" i="42"/>
  <c r="X31" i="42"/>
  <c r="R31" i="42"/>
  <c r="N31" i="42"/>
  <c r="L31" i="42"/>
  <c r="J31" i="42"/>
  <c r="B31" i="42"/>
  <c r="X30" i="42"/>
  <c r="Z30" i="42" s="1"/>
  <c r="V30" i="42"/>
  <c r="L30" i="42"/>
  <c r="N30" i="42" s="1"/>
  <c r="B30" i="42"/>
  <c r="X29" i="42"/>
  <c r="Z29" i="42" s="1"/>
  <c r="V29" i="42"/>
  <c r="N29" i="42"/>
  <c r="L29" i="42"/>
  <c r="B29" i="42"/>
  <c r="Z28" i="42"/>
  <c r="X28" i="42"/>
  <c r="N28" i="42"/>
  <c r="L28" i="42"/>
  <c r="B28" i="42"/>
  <c r="Z27" i="42"/>
  <c r="X27" i="42"/>
  <c r="V27" i="42"/>
  <c r="T27" i="42"/>
  <c r="P27" i="42"/>
  <c r="L27" i="42"/>
  <c r="J27" i="42"/>
  <c r="H27" i="42"/>
  <c r="N27" i="42" s="1"/>
  <c r="D27" i="42"/>
  <c r="B27" i="42"/>
  <c r="V26" i="42"/>
  <c r="T26" i="42"/>
  <c r="Z26" i="42" s="1"/>
  <c r="P26" i="42"/>
  <c r="X26" i="42" s="1"/>
  <c r="H26" i="42"/>
  <c r="D26" i="42"/>
  <c r="L26" i="42" s="1"/>
  <c r="H24" i="42"/>
  <c r="H108" i="42" s="1"/>
  <c r="H112" i="42" s="1"/>
  <c r="Z22" i="42"/>
  <c r="X22" i="42"/>
  <c r="V22" i="42"/>
  <c r="N22" i="42"/>
  <c r="L22" i="42"/>
  <c r="J22" i="42"/>
  <c r="B22" i="42"/>
  <c r="Z21" i="42"/>
  <c r="X21" i="42"/>
  <c r="V21" i="42"/>
  <c r="N21" i="42"/>
  <c r="L21" i="42"/>
  <c r="B21" i="42"/>
  <c r="Z20" i="42"/>
  <c r="X20" i="42"/>
  <c r="N20" i="42"/>
  <c r="L20" i="42"/>
  <c r="B20" i="42"/>
  <c r="Z19" i="42"/>
  <c r="X19" i="42"/>
  <c r="V19" i="42"/>
  <c r="T19" i="42"/>
  <c r="P19" i="42"/>
  <c r="L19" i="42"/>
  <c r="J19" i="42"/>
  <c r="H19" i="42"/>
  <c r="N19" i="42" s="1"/>
  <c r="D19" i="42"/>
  <c r="Z17" i="42"/>
  <c r="P17" i="42"/>
  <c r="X17" i="42" s="1"/>
  <c r="N17" i="42"/>
  <c r="L17" i="42"/>
  <c r="D17" i="42"/>
  <c r="B17" i="42"/>
  <c r="Z16" i="42"/>
  <c r="X16" i="42"/>
  <c r="P16" i="42"/>
  <c r="L16" i="42"/>
  <c r="N16" i="42" s="1"/>
  <c r="D16" i="42"/>
  <c r="B16" i="42"/>
  <c r="Z15" i="42"/>
  <c r="X15" i="42"/>
  <c r="P15" i="42"/>
  <c r="N15" i="42"/>
  <c r="D15" i="42"/>
  <c r="B15" i="42"/>
  <c r="Z14" i="42"/>
  <c r="X14" i="42"/>
  <c r="P14" i="42"/>
  <c r="N14" i="42"/>
  <c r="D14" i="42"/>
  <c r="L14" i="42" s="1"/>
  <c r="B14" i="42"/>
  <c r="P13" i="42"/>
  <c r="X13" i="42" s="1"/>
  <c r="Z13" i="42" s="1"/>
  <c r="N13" i="42"/>
  <c r="L13" i="42"/>
  <c r="D13" i="42"/>
  <c r="B13" i="42"/>
  <c r="Z12" i="42"/>
  <c r="X12" i="42"/>
  <c r="T12" i="42"/>
  <c r="V103" i="42" s="1"/>
  <c r="P12" i="42"/>
  <c r="R94" i="42" s="1"/>
  <c r="H12" i="42"/>
  <c r="J99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24" i="41" s="1"/>
  <c r="P12" i="41"/>
  <c r="R20" i="41" s="1"/>
  <c r="H12" i="41"/>
  <c r="J33" i="41" s="1"/>
  <c r="D12" i="41"/>
  <c r="F24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0" i="40" s="1"/>
  <c r="P12" i="40"/>
  <c r="R33" i="40" s="1"/>
  <c r="H12" i="40"/>
  <c r="J21" i="40" s="1"/>
  <c r="D12" i="40"/>
  <c r="D5" i="40"/>
  <c r="D4" i="40"/>
  <c r="Z113" i="39"/>
  <c r="X113" i="39"/>
  <c r="L113" i="39"/>
  <c r="N113" i="39" s="1"/>
  <c r="Z109" i="39"/>
  <c r="X109" i="39"/>
  <c r="P109" i="39"/>
  <c r="N109" i="39"/>
  <c r="D109" i="39"/>
  <c r="B109" i="39"/>
  <c r="Z108" i="39"/>
  <c r="X108" i="39"/>
  <c r="P108" i="39"/>
  <c r="N108" i="39"/>
  <c r="L108" i="39"/>
  <c r="D108" i="39"/>
  <c r="B108" i="39"/>
  <c r="R107" i="39"/>
  <c r="P107" i="39"/>
  <c r="P106" i="39" s="1"/>
  <c r="X106" i="39" s="1"/>
  <c r="Z106" i="39" s="1"/>
  <c r="L107" i="39"/>
  <c r="N107" i="39" s="1"/>
  <c r="D107" i="39"/>
  <c r="B107" i="39"/>
  <c r="T106" i="39"/>
  <c r="J106" i="39"/>
  <c r="H106" i="39"/>
  <c r="Z104" i="39"/>
  <c r="X104" i="39"/>
  <c r="N104" i="39"/>
  <c r="L104" i="39"/>
  <c r="B104" i="39"/>
  <c r="T103" i="39"/>
  <c r="P103" i="39"/>
  <c r="X103" i="39" s="1"/>
  <c r="H103" i="39"/>
  <c r="D103" i="39"/>
  <c r="L103" i="39" s="1"/>
  <c r="N103" i="39" s="1"/>
  <c r="B103" i="39"/>
  <c r="Z102" i="39"/>
  <c r="X102" i="39"/>
  <c r="N102" i="39"/>
  <c r="L102" i="39"/>
  <c r="J102" i="39"/>
  <c r="B102" i="39"/>
  <c r="Z101" i="39"/>
  <c r="T101" i="39"/>
  <c r="P101" i="39"/>
  <c r="X101" i="39" s="1"/>
  <c r="N101" i="39"/>
  <c r="L101" i="39"/>
  <c r="H101" i="39"/>
  <c r="D101" i="39"/>
  <c r="B101" i="39"/>
  <c r="Z100" i="39"/>
  <c r="X100" i="39"/>
  <c r="N100" i="39"/>
  <c r="L100" i="39"/>
  <c r="B100" i="39"/>
  <c r="Z99" i="39"/>
  <c r="X99" i="39"/>
  <c r="T99" i="39"/>
  <c r="P99" i="39"/>
  <c r="L99" i="39"/>
  <c r="H99" i="39"/>
  <c r="N99" i="39" s="1"/>
  <c r="D99" i="39"/>
  <c r="B99" i="39"/>
  <c r="X98" i="39"/>
  <c r="Z98" i="39" s="1"/>
  <c r="L98" i="39"/>
  <c r="N98" i="39" s="1"/>
  <c r="B98" i="39"/>
  <c r="X97" i="39"/>
  <c r="Z97" i="39" s="1"/>
  <c r="N97" i="39"/>
  <c r="L97" i="39"/>
  <c r="B97" i="39"/>
  <c r="Z96" i="39"/>
  <c r="X96" i="39"/>
  <c r="T96" i="39"/>
  <c r="P96" i="39"/>
  <c r="J96" i="39"/>
  <c r="H96" i="39"/>
  <c r="D96" i="39"/>
  <c r="L96" i="39" s="1"/>
  <c r="B96" i="39"/>
  <c r="X95" i="39"/>
  <c r="Z95" i="39" s="1"/>
  <c r="R95" i="39"/>
  <c r="N95" i="39"/>
  <c r="L95" i="39"/>
  <c r="B95" i="39"/>
  <c r="X94" i="39"/>
  <c r="Z94" i="39" s="1"/>
  <c r="L94" i="39"/>
  <c r="N94" i="39" s="1"/>
  <c r="B94" i="39"/>
  <c r="X93" i="39"/>
  <c r="Z93" i="39" s="1"/>
  <c r="N93" i="39"/>
  <c r="L93" i="39"/>
  <c r="B93" i="39"/>
  <c r="Z92" i="39"/>
  <c r="X92" i="39"/>
  <c r="N92" i="39"/>
  <c r="L92" i="39"/>
  <c r="B92" i="39"/>
  <c r="Z91" i="39"/>
  <c r="X91" i="39"/>
  <c r="L91" i="39"/>
  <c r="N91" i="39" s="1"/>
  <c r="B91" i="39"/>
  <c r="X90" i="39"/>
  <c r="Z90" i="39" s="1"/>
  <c r="N90" i="39"/>
  <c r="L90" i="39"/>
  <c r="J90" i="39"/>
  <c r="B90" i="39"/>
  <c r="Z89" i="39"/>
  <c r="X89" i="39"/>
  <c r="N89" i="39"/>
  <c r="L89" i="39"/>
  <c r="B89" i="39"/>
  <c r="Z88" i="39"/>
  <c r="X88" i="39"/>
  <c r="N88" i="39"/>
  <c r="L88" i="39"/>
  <c r="B88" i="39"/>
  <c r="X87" i="39"/>
  <c r="Z87" i="39" s="1"/>
  <c r="R87" i="39"/>
  <c r="N87" i="39"/>
  <c r="L87" i="39"/>
  <c r="J87" i="39"/>
  <c r="B87" i="39"/>
  <c r="X86" i="39"/>
  <c r="Z86" i="39" s="1"/>
  <c r="L86" i="39"/>
  <c r="N86" i="39" s="1"/>
  <c r="B86" i="39"/>
  <c r="X85" i="39"/>
  <c r="T85" i="39"/>
  <c r="Z85" i="39" s="1"/>
  <c r="P85" i="39"/>
  <c r="H85" i="39"/>
  <c r="D85" i="39"/>
  <c r="B85" i="39"/>
  <c r="Z84" i="39"/>
  <c r="X84" i="39"/>
  <c r="N84" i="39"/>
  <c r="L84" i="39"/>
  <c r="B84" i="39"/>
  <c r="T83" i="39"/>
  <c r="P83" i="39"/>
  <c r="H83" i="39"/>
  <c r="D83" i="39"/>
  <c r="L83" i="39" s="1"/>
  <c r="N83" i="39" s="1"/>
  <c r="B83" i="39"/>
  <c r="X82" i="39"/>
  <c r="Z82" i="39" s="1"/>
  <c r="L82" i="39"/>
  <c r="N82" i="39" s="1"/>
  <c r="J82" i="39"/>
  <c r="B82" i="39"/>
  <c r="Z81" i="39"/>
  <c r="X81" i="39"/>
  <c r="L81" i="39"/>
  <c r="N81" i="39" s="1"/>
  <c r="J81" i="39"/>
  <c r="B81" i="39"/>
  <c r="Z80" i="39"/>
  <c r="X80" i="39"/>
  <c r="N80" i="39"/>
  <c r="L80" i="39"/>
  <c r="B80" i="39"/>
  <c r="X79" i="39"/>
  <c r="Z79" i="39" s="1"/>
  <c r="R79" i="39"/>
  <c r="N79" i="39"/>
  <c r="L79" i="39"/>
  <c r="J79" i="39"/>
  <c r="B79" i="39"/>
  <c r="X78" i="39"/>
  <c r="Z78" i="39" s="1"/>
  <c r="L78" i="39"/>
  <c r="N78" i="39" s="1"/>
  <c r="B78" i="39"/>
  <c r="X77" i="39"/>
  <c r="T77" i="39"/>
  <c r="Z77" i="39" s="1"/>
  <c r="P77" i="39"/>
  <c r="H77" i="39"/>
  <c r="D77" i="39"/>
  <c r="B77" i="39"/>
  <c r="Z76" i="39"/>
  <c r="X76" i="39"/>
  <c r="N76" i="39"/>
  <c r="L76" i="39"/>
  <c r="B76" i="39"/>
  <c r="Z75" i="39"/>
  <c r="X75" i="39"/>
  <c r="R75" i="39"/>
  <c r="N75" i="39"/>
  <c r="L75" i="39"/>
  <c r="J75" i="39"/>
  <c r="B75" i="39"/>
  <c r="T74" i="39"/>
  <c r="Z74" i="39" s="1"/>
  <c r="P74" i="39"/>
  <c r="X74" i="39" s="1"/>
  <c r="H74" i="39"/>
  <c r="D74" i="39"/>
  <c r="L74" i="39" s="1"/>
  <c r="N74" i="39" s="1"/>
  <c r="B74" i="39"/>
  <c r="Z73" i="39"/>
  <c r="X73" i="39"/>
  <c r="L73" i="39"/>
  <c r="N73" i="39" s="1"/>
  <c r="J73" i="39"/>
  <c r="B73" i="39"/>
  <c r="Z72" i="39"/>
  <c r="X72" i="39"/>
  <c r="N72" i="39"/>
  <c r="L72" i="39"/>
  <c r="B72" i="39"/>
  <c r="Z71" i="39"/>
  <c r="X71" i="39"/>
  <c r="R71" i="39"/>
  <c r="N71" i="39"/>
  <c r="L71" i="39"/>
  <c r="J71" i="39"/>
  <c r="B71" i="39"/>
  <c r="T70" i="39"/>
  <c r="Z70" i="39" s="1"/>
  <c r="P70" i="39"/>
  <c r="X70" i="39" s="1"/>
  <c r="H70" i="39"/>
  <c r="D70" i="39"/>
  <c r="L70" i="39" s="1"/>
  <c r="N70" i="39" s="1"/>
  <c r="B70" i="39"/>
  <c r="Z69" i="39"/>
  <c r="X69" i="39"/>
  <c r="L69" i="39"/>
  <c r="N69" i="39" s="1"/>
  <c r="J69" i="39"/>
  <c r="B69" i="39"/>
  <c r="T68" i="39"/>
  <c r="R68" i="39"/>
  <c r="P68" i="39"/>
  <c r="X68" i="39" s="1"/>
  <c r="Z68" i="39" s="1"/>
  <c r="L68" i="39"/>
  <c r="N68" i="39" s="1"/>
  <c r="H68" i="39"/>
  <c r="D68" i="39"/>
  <c r="B68" i="39"/>
  <c r="Z67" i="39"/>
  <c r="X67" i="39"/>
  <c r="N67" i="39"/>
  <c r="L67" i="39"/>
  <c r="B67" i="39"/>
  <c r="X66" i="39"/>
  <c r="Z66" i="39" s="1"/>
  <c r="T66" i="39"/>
  <c r="P66" i="39"/>
  <c r="H66" i="39"/>
  <c r="L66" i="39" s="1"/>
  <c r="N66" i="39" s="1"/>
  <c r="D66" i="39"/>
  <c r="B66" i="39"/>
  <c r="X65" i="39"/>
  <c r="Z65" i="39" s="1"/>
  <c r="N65" i="39"/>
  <c r="L65" i="39"/>
  <c r="B65" i="39"/>
  <c r="T64" i="39"/>
  <c r="X64" i="39" s="1"/>
  <c r="Z64" i="39" s="1"/>
  <c r="P64" i="39"/>
  <c r="J64" i="39"/>
  <c r="H64" i="39"/>
  <c r="D64" i="39"/>
  <c r="L64" i="39" s="1"/>
  <c r="B64" i="39"/>
  <c r="Z63" i="39"/>
  <c r="X63" i="39"/>
  <c r="R63" i="39"/>
  <c r="N63" i="39"/>
  <c r="L63" i="39"/>
  <c r="J63" i="39"/>
  <c r="B63" i="39"/>
  <c r="T62" i="39"/>
  <c r="P62" i="39"/>
  <c r="X62" i="39" s="1"/>
  <c r="H62" i="39"/>
  <c r="D62" i="39"/>
  <c r="L62" i="39" s="1"/>
  <c r="N62" i="39" s="1"/>
  <c r="B62" i="39"/>
  <c r="Z61" i="39"/>
  <c r="X61" i="39"/>
  <c r="L61" i="39"/>
  <c r="N61" i="39" s="1"/>
  <c r="J61" i="39"/>
  <c r="B61" i="39"/>
  <c r="T60" i="39"/>
  <c r="R60" i="39"/>
  <c r="P60" i="39"/>
  <c r="X60" i="39" s="1"/>
  <c r="Z60" i="39" s="1"/>
  <c r="L60" i="39"/>
  <c r="N60" i="39" s="1"/>
  <c r="H60" i="39"/>
  <c r="D60" i="39"/>
  <c r="B60" i="39"/>
  <c r="Z59" i="39"/>
  <c r="X59" i="39"/>
  <c r="N59" i="39"/>
  <c r="L59" i="39"/>
  <c r="F59" i="39"/>
  <c r="B59" i="39"/>
  <c r="X58" i="39"/>
  <c r="Z58" i="39" s="1"/>
  <c r="T58" i="39"/>
  <c r="P58" i="39"/>
  <c r="H58" i="39"/>
  <c r="L58" i="39" s="1"/>
  <c r="N58" i="39" s="1"/>
  <c r="D58" i="39"/>
  <c r="B58" i="39"/>
  <c r="X57" i="39"/>
  <c r="Z57" i="39" s="1"/>
  <c r="N57" i="39"/>
  <c r="L57" i="39"/>
  <c r="B57" i="39"/>
  <c r="Z56" i="39"/>
  <c r="X56" i="39"/>
  <c r="N56" i="39"/>
  <c r="L56" i="39"/>
  <c r="B56" i="39"/>
  <c r="Z55" i="39"/>
  <c r="X55" i="39"/>
  <c r="T55" i="39"/>
  <c r="P55" i="39"/>
  <c r="L55" i="39"/>
  <c r="J55" i="39"/>
  <c r="H55" i="39"/>
  <c r="N55" i="39" s="1"/>
  <c r="D55" i="39"/>
  <c r="B55" i="39"/>
  <c r="X54" i="39"/>
  <c r="Z54" i="39" s="1"/>
  <c r="L54" i="39"/>
  <c r="N54" i="39" s="1"/>
  <c r="B54" i="39"/>
  <c r="X53" i="39"/>
  <c r="T53" i="39"/>
  <c r="Z53" i="39" s="1"/>
  <c r="P53" i="39"/>
  <c r="H53" i="39"/>
  <c r="D53" i="39"/>
  <c r="L53" i="39" s="1"/>
  <c r="B53" i="39"/>
  <c r="Z52" i="39"/>
  <c r="X52" i="39"/>
  <c r="N52" i="39"/>
  <c r="L52" i="39"/>
  <c r="B52" i="39"/>
  <c r="T51" i="39"/>
  <c r="P51" i="39"/>
  <c r="X51" i="39" s="1"/>
  <c r="H51" i="39"/>
  <c r="D51" i="39"/>
  <c r="L51" i="39" s="1"/>
  <c r="N51" i="39" s="1"/>
  <c r="B51" i="39"/>
  <c r="Z50" i="39"/>
  <c r="X50" i="39"/>
  <c r="N50" i="39"/>
  <c r="L50" i="39"/>
  <c r="J50" i="39"/>
  <c r="B50" i="39"/>
  <c r="Z49" i="39"/>
  <c r="T49" i="39"/>
  <c r="P49" i="39"/>
  <c r="X49" i="39" s="1"/>
  <c r="N49" i="39"/>
  <c r="L49" i="39"/>
  <c r="J49" i="39"/>
  <c r="H49" i="39"/>
  <c r="D49" i="39"/>
  <c r="B49" i="39"/>
  <c r="Z48" i="39"/>
  <c r="X48" i="39"/>
  <c r="N48" i="39"/>
  <c r="L48" i="39"/>
  <c r="B48" i="39"/>
  <c r="Z47" i="39"/>
  <c r="X47" i="39"/>
  <c r="N47" i="39"/>
  <c r="L47" i="39"/>
  <c r="B47" i="39"/>
  <c r="X46" i="39"/>
  <c r="Z46" i="39" s="1"/>
  <c r="L46" i="39"/>
  <c r="N46" i="39" s="1"/>
  <c r="J46" i="39"/>
  <c r="B46" i="39"/>
  <c r="Z45" i="39"/>
  <c r="X45" i="39"/>
  <c r="L45" i="39"/>
  <c r="N45" i="39" s="1"/>
  <c r="J45" i="39"/>
  <c r="B45" i="39"/>
  <c r="Z44" i="39"/>
  <c r="X44" i="39"/>
  <c r="N44" i="39"/>
  <c r="L44" i="39"/>
  <c r="B44" i="39"/>
  <c r="Z43" i="39"/>
  <c r="X43" i="39"/>
  <c r="R43" i="39"/>
  <c r="N43" i="39"/>
  <c r="L43" i="39"/>
  <c r="J43" i="39"/>
  <c r="B43" i="39"/>
  <c r="X42" i="39"/>
  <c r="Z42" i="39" s="1"/>
  <c r="L42" i="39"/>
  <c r="N42" i="39" s="1"/>
  <c r="B42" i="39"/>
  <c r="Z41" i="39"/>
  <c r="X41" i="39"/>
  <c r="N41" i="39"/>
  <c r="L41" i="39"/>
  <c r="B41" i="39"/>
  <c r="Z40" i="39"/>
  <c r="X40" i="39"/>
  <c r="N40" i="39"/>
  <c r="L40" i="39"/>
  <c r="B40" i="39"/>
  <c r="Z39" i="39"/>
  <c r="X39" i="39"/>
  <c r="N39" i="39"/>
  <c r="L39" i="39"/>
  <c r="F39" i="39"/>
  <c r="B39" i="39"/>
  <c r="X38" i="39"/>
  <c r="Z38" i="39" s="1"/>
  <c r="T38" i="39"/>
  <c r="P38" i="39"/>
  <c r="N38" i="39"/>
  <c r="L38" i="39"/>
  <c r="H38" i="39"/>
  <c r="D38" i="39"/>
  <c r="B38" i="39"/>
  <c r="X37" i="39"/>
  <c r="Z37" i="39" s="1"/>
  <c r="N37" i="39"/>
  <c r="L37" i="39"/>
  <c r="B37" i="39"/>
  <c r="Z36" i="39"/>
  <c r="X36" i="39"/>
  <c r="N36" i="39"/>
  <c r="L36" i="39"/>
  <c r="B36" i="39"/>
  <c r="Z35" i="39"/>
  <c r="X35" i="39"/>
  <c r="N35" i="39"/>
  <c r="L35" i="39"/>
  <c r="B35" i="39"/>
  <c r="Z34" i="39"/>
  <c r="X34" i="39"/>
  <c r="N34" i="39"/>
  <c r="L34" i="39"/>
  <c r="J34" i="39"/>
  <c r="B34" i="39"/>
  <c r="Z33" i="39"/>
  <c r="X33" i="39"/>
  <c r="L33" i="39"/>
  <c r="N33" i="39" s="1"/>
  <c r="J33" i="39"/>
  <c r="B33" i="39"/>
  <c r="Z32" i="39"/>
  <c r="X32" i="39"/>
  <c r="N32" i="39"/>
  <c r="L32" i="39"/>
  <c r="B32" i="39"/>
  <c r="Z31" i="39"/>
  <c r="X31" i="39"/>
  <c r="R31" i="39"/>
  <c r="N31" i="39"/>
  <c r="L31" i="39"/>
  <c r="J31" i="39"/>
  <c r="B31" i="39"/>
  <c r="X30" i="39"/>
  <c r="Z30" i="39" s="1"/>
  <c r="L30" i="39"/>
  <c r="N30" i="39" s="1"/>
  <c r="B30" i="39"/>
  <c r="X29" i="39"/>
  <c r="Z29" i="39" s="1"/>
  <c r="N29" i="39"/>
  <c r="L29" i="39"/>
  <c r="B29" i="39"/>
  <c r="Z28" i="39"/>
  <c r="T28" i="39"/>
  <c r="X28" i="39" s="1"/>
  <c r="P28" i="39"/>
  <c r="J28" i="39"/>
  <c r="H28" i="39"/>
  <c r="N28" i="39" s="1"/>
  <c r="D28" i="39"/>
  <c r="L28" i="39" s="1"/>
  <c r="B28" i="39"/>
  <c r="T27" i="39"/>
  <c r="P27" i="39"/>
  <c r="X27" i="39" s="1"/>
  <c r="H27" i="39"/>
  <c r="D27" i="39"/>
  <c r="L27" i="39" s="1"/>
  <c r="N27" i="39" s="1"/>
  <c r="Z23" i="39"/>
  <c r="X23" i="39"/>
  <c r="R23" i="39"/>
  <c r="N23" i="39"/>
  <c r="L23" i="39"/>
  <c r="J23" i="39"/>
  <c r="B23" i="39"/>
  <c r="Z22" i="39"/>
  <c r="X22" i="39"/>
  <c r="N22" i="39"/>
  <c r="L22" i="39"/>
  <c r="B22" i="39"/>
  <c r="X21" i="39"/>
  <c r="Z21" i="39" s="1"/>
  <c r="N21" i="39"/>
  <c r="L21" i="39"/>
  <c r="B21" i="39"/>
  <c r="T20" i="39"/>
  <c r="X20" i="39" s="1"/>
  <c r="Z20" i="39" s="1"/>
  <c r="P20" i="39"/>
  <c r="J20" i="39"/>
  <c r="H20" i="39"/>
  <c r="H25" i="39" s="1"/>
  <c r="D20" i="39"/>
  <c r="L20" i="39" s="1"/>
  <c r="Z18" i="39"/>
  <c r="P18" i="39"/>
  <c r="X18" i="39" s="1"/>
  <c r="N18" i="39"/>
  <c r="L18" i="39"/>
  <c r="D18" i="39"/>
  <c r="B18" i="39"/>
  <c r="Z17" i="39"/>
  <c r="X17" i="39"/>
  <c r="P17" i="39"/>
  <c r="N17" i="39"/>
  <c r="D17" i="39"/>
  <c r="L17" i="39" s="1"/>
  <c r="B17" i="39"/>
  <c r="X16" i="39"/>
  <c r="Z16" i="39" s="1"/>
  <c r="P16" i="39"/>
  <c r="D16" i="39"/>
  <c r="L16" i="39" s="1"/>
  <c r="N16" i="39" s="1"/>
  <c r="B16" i="39"/>
  <c r="Z15" i="39"/>
  <c r="P15" i="39"/>
  <c r="X15" i="39" s="1"/>
  <c r="N15" i="39"/>
  <c r="D15" i="39"/>
  <c r="L15" i="39" s="1"/>
  <c r="B15" i="39"/>
  <c r="Z14" i="39"/>
  <c r="X14" i="39"/>
  <c r="P14" i="39"/>
  <c r="N14" i="39"/>
  <c r="L14" i="39"/>
  <c r="D14" i="39"/>
  <c r="B14" i="39"/>
  <c r="X13" i="39"/>
  <c r="Z13" i="39" s="1"/>
  <c r="P13" i="39"/>
  <c r="L13" i="39"/>
  <c r="N13" i="39" s="1"/>
  <c r="D13" i="39"/>
  <c r="D12" i="39" s="1"/>
  <c r="F74" i="39" s="1"/>
  <c r="B13" i="39"/>
  <c r="T12" i="39"/>
  <c r="V22" i="39" s="1"/>
  <c r="P12" i="39"/>
  <c r="R103" i="39" s="1"/>
  <c r="H12" i="39"/>
  <c r="J113" i="39" s="1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24" i="38" s="1"/>
  <c r="P12" i="38"/>
  <c r="R34" i="38" s="1"/>
  <c r="H12" i="38"/>
  <c r="J18" i="38" s="1"/>
  <c r="D12" i="38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D15" i="37"/>
  <c r="T13" i="37"/>
  <c r="Z13" i="37" s="1"/>
  <c r="P13" i="37"/>
  <c r="H13" i="37"/>
  <c r="N13" i="37" s="1"/>
  <c r="D13" i="37"/>
  <c r="B13" i="37"/>
  <c r="T12" i="37"/>
  <c r="V24" i="37" s="1"/>
  <c r="P12" i="37"/>
  <c r="R16" i="37" s="1"/>
  <c r="H12" i="37"/>
  <c r="J20" i="37" s="1"/>
  <c r="D12" i="37"/>
  <c r="F36" i="37" s="1"/>
  <c r="D5" i="37"/>
  <c r="D4" i="37"/>
  <c r="Z119" i="36"/>
  <c r="X119" i="36"/>
  <c r="L119" i="36"/>
  <c r="N119" i="36" s="1"/>
  <c r="Z115" i="36"/>
  <c r="P115" i="36"/>
  <c r="P112" i="36" s="1"/>
  <c r="X112" i="36" s="1"/>
  <c r="N115" i="36"/>
  <c r="L115" i="36"/>
  <c r="D115" i="36"/>
  <c r="B115" i="36"/>
  <c r="Z114" i="36"/>
  <c r="X114" i="36"/>
  <c r="P114" i="36"/>
  <c r="N114" i="36"/>
  <c r="D114" i="36"/>
  <c r="L114" i="36" s="1"/>
  <c r="B114" i="36"/>
  <c r="Z113" i="36"/>
  <c r="X113" i="36"/>
  <c r="P113" i="36"/>
  <c r="N113" i="36"/>
  <c r="L113" i="36"/>
  <c r="D113" i="36"/>
  <c r="B113" i="36"/>
  <c r="V112" i="36"/>
  <c r="T112" i="36"/>
  <c r="H112" i="36"/>
  <c r="D112" i="36"/>
  <c r="L112" i="36" s="1"/>
  <c r="X110" i="36"/>
  <c r="Z110" i="36" s="1"/>
  <c r="L110" i="36"/>
  <c r="N110" i="36" s="1"/>
  <c r="B110" i="36"/>
  <c r="T109" i="36"/>
  <c r="P109" i="36"/>
  <c r="X109" i="36" s="1"/>
  <c r="Z109" i="36" s="1"/>
  <c r="N109" i="36"/>
  <c r="L109" i="36"/>
  <c r="H109" i="36"/>
  <c r="D109" i="36"/>
  <c r="B109" i="36"/>
  <c r="Z108" i="36"/>
  <c r="X108" i="36"/>
  <c r="N108" i="36"/>
  <c r="L108" i="36"/>
  <c r="B108" i="36"/>
  <c r="Z107" i="36"/>
  <c r="X107" i="36"/>
  <c r="N107" i="36"/>
  <c r="L107" i="36"/>
  <c r="B107" i="36"/>
  <c r="Z106" i="36"/>
  <c r="X106" i="36"/>
  <c r="T106" i="36"/>
  <c r="P106" i="36"/>
  <c r="N106" i="36"/>
  <c r="L106" i="36"/>
  <c r="H106" i="36"/>
  <c r="D106" i="36"/>
  <c r="B106" i="36"/>
  <c r="X105" i="36"/>
  <c r="Z105" i="36" s="1"/>
  <c r="N105" i="36"/>
  <c r="L105" i="36"/>
  <c r="B105" i="36"/>
  <c r="Z104" i="36"/>
  <c r="X104" i="36"/>
  <c r="T104" i="36"/>
  <c r="P104" i="36"/>
  <c r="H104" i="36"/>
  <c r="D104" i="36"/>
  <c r="L104" i="36" s="1"/>
  <c r="B104" i="36"/>
  <c r="X103" i="36"/>
  <c r="Z103" i="36" s="1"/>
  <c r="N103" i="36"/>
  <c r="L103" i="36"/>
  <c r="B103" i="36"/>
  <c r="X102" i="36"/>
  <c r="Z102" i="36" s="1"/>
  <c r="V102" i="36"/>
  <c r="L102" i="36"/>
  <c r="N102" i="36" s="1"/>
  <c r="B102" i="36"/>
  <c r="X101" i="36"/>
  <c r="T101" i="36"/>
  <c r="Z101" i="36" s="1"/>
  <c r="P101" i="36"/>
  <c r="H101" i="36"/>
  <c r="D101" i="36"/>
  <c r="B101" i="36"/>
  <c r="Z100" i="36"/>
  <c r="X100" i="36"/>
  <c r="N100" i="36"/>
  <c r="L100" i="36"/>
  <c r="B100" i="36"/>
  <c r="X99" i="36"/>
  <c r="Z99" i="36" s="1"/>
  <c r="N99" i="36"/>
  <c r="L99" i="36"/>
  <c r="B99" i="36"/>
  <c r="X98" i="36"/>
  <c r="Z98" i="36" s="1"/>
  <c r="V98" i="36"/>
  <c r="L98" i="36"/>
  <c r="N98" i="36" s="1"/>
  <c r="B98" i="36"/>
  <c r="X97" i="36"/>
  <c r="Z97" i="36" s="1"/>
  <c r="N97" i="36"/>
  <c r="L97" i="36"/>
  <c r="B97" i="36"/>
  <c r="Z96" i="36"/>
  <c r="X96" i="36"/>
  <c r="N96" i="36"/>
  <c r="L96" i="36"/>
  <c r="B96" i="36"/>
  <c r="Z95" i="36"/>
  <c r="X95" i="36"/>
  <c r="L95" i="36"/>
  <c r="N95" i="36" s="1"/>
  <c r="B95" i="36"/>
  <c r="X94" i="36"/>
  <c r="Z94" i="36" s="1"/>
  <c r="L94" i="36"/>
  <c r="N94" i="36" s="1"/>
  <c r="B94" i="36"/>
  <c r="Z93" i="36"/>
  <c r="X93" i="36"/>
  <c r="L93" i="36"/>
  <c r="N93" i="36" s="1"/>
  <c r="B93" i="36"/>
  <c r="Z92" i="36"/>
  <c r="X92" i="36"/>
  <c r="N92" i="36"/>
  <c r="L92" i="36"/>
  <c r="B92" i="36"/>
  <c r="X91" i="36"/>
  <c r="Z91" i="36" s="1"/>
  <c r="N91" i="36"/>
  <c r="L91" i="36"/>
  <c r="B91" i="36"/>
  <c r="V90" i="36"/>
  <c r="T90" i="36"/>
  <c r="Z90" i="36" s="1"/>
  <c r="P90" i="36"/>
  <c r="X90" i="36" s="1"/>
  <c r="H90" i="36"/>
  <c r="N90" i="36" s="1"/>
  <c r="D90" i="36"/>
  <c r="L90" i="36" s="1"/>
  <c r="B90" i="36"/>
  <c r="Z89" i="36"/>
  <c r="X89" i="36"/>
  <c r="L89" i="36"/>
  <c r="N89" i="36" s="1"/>
  <c r="B89" i="36"/>
  <c r="Z88" i="36"/>
  <c r="X88" i="36"/>
  <c r="N88" i="36"/>
  <c r="L88" i="36"/>
  <c r="B88" i="36"/>
  <c r="T87" i="36"/>
  <c r="P87" i="36"/>
  <c r="X87" i="36" s="1"/>
  <c r="H87" i="36"/>
  <c r="D87" i="36"/>
  <c r="L87" i="36" s="1"/>
  <c r="N87" i="36" s="1"/>
  <c r="B87" i="36"/>
  <c r="X86" i="36"/>
  <c r="Z86" i="36" s="1"/>
  <c r="L86" i="36"/>
  <c r="N86" i="36" s="1"/>
  <c r="B86" i="36"/>
  <c r="Z85" i="36"/>
  <c r="X85" i="36"/>
  <c r="L85" i="36"/>
  <c r="N85" i="36" s="1"/>
  <c r="B85" i="36"/>
  <c r="Z84" i="36"/>
  <c r="X84" i="36"/>
  <c r="N84" i="36"/>
  <c r="L84" i="36"/>
  <c r="B84" i="36"/>
  <c r="X83" i="36"/>
  <c r="Z83" i="36" s="1"/>
  <c r="N83" i="36"/>
  <c r="L83" i="36"/>
  <c r="B83" i="36"/>
  <c r="X82" i="36"/>
  <c r="Z82" i="36" s="1"/>
  <c r="V82" i="36"/>
  <c r="L82" i="36"/>
  <c r="N82" i="36" s="1"/>
  <c r="B82" i="36"/>
  <c r="X81" i="36"/>
  <c r="T81" i="36"/>
  <c r="P81" i="36"/>
  <c r="H81" i="36"/>
  <c r="D81" i="36"/>
  <c r="L81" i="36" s="1"/>
  <c r="B81" i="36"/>
  <c r="Z80" i="36"/>
  <c r="X80" i="36"/>
  <c r="N80" i="36"/>
  <c r="L80" i="36"/>
  <c r="B80" i="36"/>
  <c r="T79" i="36"/>
  <c r="Z79" i="36" s="1"/>
  <c r="P79" i="36"/>
  <c r="X79" i="36" s="1"/>
  <c r="N79" i="36"/>
  <c r="H79" i="36"/>
  <c r="D79" i="36"/>
  <c r="L79" i="36" s="1"/>
  <c r="B79" i="36"/>
  <c r="X78" i="36"/>
  <c r="Z78" i="36" s="1"/>
  <c r="N78" i="36"/>
  <c r="L78" i="36"/>
  <c r="B78" i="36"/>
  <c r="Z77" i="36"/>
  <c r="X77" i="36"/>
  <c r="L77" i="36"/>
  <c r="N77" i="36" s="1"/>
  <c r="B77" i="36"/>
  <c r="Z76" i="36"/>
  <c r="X76" i="36"/>
  <c r="N76" i="36"/>
  <c r="L76" i="36"/>
  <c r="B76" i="36"/>
  <c r="T75" i="36"/>
  <c r="P75" i="36"/>
  <c r="X75" i="36" s="1"/>
  <c r="H75" i="36"/>
  <c r="D75" i="36"/>
  <c r="L75" i="36" s="1"/>
  <c r="N75" i="36" s="1"/>
  <c r="B75" i="36"/>
  <c r="X74" i="36"/>
  <c r="Z74" i="36" s="1"/>
  <c r="N74" i="36"/>
  <c r="L74" i="36"/>
  <c r="B74" i="36"/>
  <c r="T73" i="36"/>
  <c r="P73" i="36"/>
  <c r="X73" i="36" s="1"/>
  <c r="Z73" i="36" s="1"/>
  <c r="N73" i="36"/>
  <c r="L73" i="36"/>
  <c r="H73" i="36"/>
  <c r="D73" i="36"/>
  <c r="B73" i="36"/>
  <c r="Z72" i="36"/>
  <c r="X72" i="36"/>
  <c r="N72" i="36"/>
  <c r="L72" i="36"/>
  <c r="B72" i="36"/>
  <c r="Z71" i="36"/>
  <c r="X71" i="36"/>
  <c r="T71" i="36"/>
  <c r="P71" i="36"/>
  <c r="L71" i="36"/>
  <c r="H71" i="36"/>
  <c r="N71" i="36" s="1"/>
  <c r="D71" i="36"/>
  <c r="B71" i="36"/>
  <c r="Z70" i="36"/>
  <c r="X70" i="36"/>
  <c r="V70" i="36"/>
  <c r="L70" i="36"/>
  <c r="N70" i="36" s="1"/>
  <c r="B70" i="36"/>
  <c r="X69" i="36"/>
  <c r="V69" i="36"/>
  <c r="T69" i="36"/>
  <c r="Z69" i="36" s="1"/>
  <c r="P69" i="36"/>
  <c r="H69" i="36"/>
  <c r="D69" i="36"/>
  <c r="B69" i="36"/>
  <c r="Z68" i="36"/>
  <c r="X68" i="36"/>
  <c r="N68" i="36"/>
  <c r="L68" i="36"/>
  <c r="B68" i="36"/>
  <c r="T67" i="36"/>
  <c r="P67" i="36"/>
  <c r="H67" i="36"/>
  <c r="D67" i="36"/>
  <c r="L67" i="36" s="1"/>
  <c r="N67" i="36" s="1"/>
  <c r="B67" i="36"/>
  <c r="X66" i="36"/>
  <c r="Z66" i="36" s="1"/>
  <c r="N66" i="36"/>
  <c r="L66" i="36"/>
  <c r="B66" i="36"/>
  <c r="T65" i="36"/>
  <c r="P65" i="36"/>
  <c r="X65" i="36" s="1"/>
  <c r="Z65" i="36" s="1"/>
  <c r="N65" i="36"/>
  <c r="L65" i="36"/>
  <c r="H65" i="36"/>
  <c r="D65" i="36"/>
  <c r="B65" i="36"/>
  <c r="Z64" i="36"/>
  <c r="X64" i="36"/>
  <c r="N64" i="36"/>
  <c r="L64" i="36"/>
  <c r="B64" i="36"/>
  <c r="Z63" i="36"/>
  <c r="X63" i="36"/>
  <c r="V63" i="36"/>
  <c r="T63" i="36"/>
  <c r="P63" i="36"/>
  <c r="L63" i="36"/>
  <c r="H63" i="36"/>
  <c r="N63" i="36" s="1"/>
  <c r="D63" i="36"/>
  <c r="B63" i="36"/>
  <c r="Z62" i="36"/>
  <c r="X62" i="36"/>
  <c r="V62" i="36"/>
  <c r="L62" i="36"/>
  <c r="N62" i="36" s="1"/>
  <c r="B62" i="36"/>
  <c r="X61" i="36"/>
  <c r="V61" i="36"/>
  <c r="T61" i="36"/>
  <c r="Z61" i="36" s="1"/>
  <c r="P61" i="36"/>
  <c r="H61" i="36"/>
  <c r="D61" i="36"/>
  <c r="B61" i="36"/>
  <c r="Z60" i="36"/>
  <c r="X60" i="36"/>
  <c r="N60" i="36"/>
  <c r="L60" i="36"/>
  <c r="B60" i="36"/>
  <c r="T59" i="36"/>
  <c r="P59" i="36"/>
  <c r="H59" i="36"/>
  <c r="D59" i="36"/>
  <c r="L59" i="36" s="1"/>
  <c r="N59" i="36" s="1"/>
  <c r="B59" i="36"/>
  <c r="X58" i="36"/>
  <c r="Z58" i="36" s="1"/>
  <c r="N58" i="36"/>
  <c r="L58" i="36"/>
  <c r="B58" i="36"/>
  <c r="Z57" i="36"/>
  <c r="X57" i="36"/>
  <c r="N57" i="36"/>
  <c r="L57" i="36"/>
  <c r="B57" i="36"/>
  <c r="T56" i="36"/>
  <c r="P56" i="36"/>
  <c r="X56" i="36" s="1"/>
  <c r="Z56" i="36" s="1"/>
  <c r="L56" i="36"/>
  <c r="N56" i="36" s="1"/>
  <c r="H56" i="36"/>
  <c r="D56" i="36"/>
  <c r="B56" i="36"/>
  <c r="Z55" i="36"/>
  <c r="X55" i="36"/>
  <c r="V55" i="36"/>
  <c r="L55" i="36"/>
  <c r="N55" i="36" s="1"/>
  <c r="B55" i="36"/>
  <c r="X54" i="36"/>
  <c r="Z54" i="36" s="1"/>
  <c r="T54" i="36"/>
  <c r="P54" i="36"/>
  <c r="N54" i="36"/>
  <c r="L54" i="36"/>
  <c r="H54" i="36"/>
  <c r="D54" i="36"/>
  <c r="B54" i="36"/>
  <c r="X53" i="36"/>
  <c r="Z53" i="36" s="1"/>
  <c r="V53" i="36"/>
  <c r="N53" i="36"/>
  <c r="L53" i="36"/>
  <c r="B53" i="36"/>
  <c r="Z52" i="36"/>
  <c r="X52" i="36"/>
  <c r="T52" i="36"/>
  <c r="P52" i="36"/>
  <c r="H52" i="36"/>
  <c r="N52" i="36" s="1"/>
  <c r="D52" i="36"/>
  <c r="L52" i="36" s="1"/>
  <c r="B52" i="36"/>
  <c r="X51" i="36"/>
  <c r="Z51" i="36" s="1"/>
  <c r="N51" i="36"/>
  <c r="L51" i="36"/>
  <c r="B51" i="36"/>
  <c r="V50" i="36"/>
  <c r="T50" i="36"/>
  <c r="P50" i="36"/>
  <c r="X50" i="36" s="1"/>
  <c r="H50" i="36"/>
  <c r="D50" i="36"/>
  <c r="L50" i="36" s="1"/>
  <c r="N50" i="36" s="1"/>
  <c r="B50" i="36"/>
  <c r="Z49" i="36"/>
  <c r="X49" i="36"/>
  <c r="N49" i="36"/>
  <c r="L49" i="36"/>
  <c r="B49" i="36"/>
  <c r="Z48" i="36"/>
  <c r="X48" i="36"/>
  <c r="N48" i="36"/>
  <c r="L48" i="36"/>
  <c r="B48" i="36"/>
  <c r="X47" i="36"/>
  <c r="Z47" i="36" s="1"/>
  <c r="N47" i="36"/>
  <c r="L47" i="36"/>
  <c r="B47" i="36"/>
  <c r="Z46" i="36"/>
  <c r="X46" i="36"/>
  <c r="V46" i="36"/>
  <c r="L46" i="36"/>
  <c r="N46" i="36" s="1"/>
  <c r="B46" i="36"/>
  <c r="Z45" i="36"/>
  <c r="X45" i="36"/>
  <c r="V45" i="36"/>
  <c r="N45" i="36"/>
  <c r="L45" i="36"/>
  <c r="B45" i="36"/>
  <c r="Z44" i="36"/>
  <c r="X44" i="36"/>
  <c r="N44" i="36"/>
  <c r="L44" i="36"/>
  <c r="B44" i="36"/>
  <c r="Z43" i="36"/>
  <c r="X43" i="36"/>
  <c r="V43" i="36"/>
  <c r="L43" i="36"/>
  <c r="N43" i="36" s="1"/>
  <c r="B43" i="36"/>
  <c r="Z42" i="36"/>
  <c r="X42" i="36"/>
  <c r="N42" i="36"/>
  <c r="L42" i="36"/>
  <c r="B42" i="36"/>
  <c r="Z41" i="36"/>
  <c r="X41" i="36"/>
  <c r="L41" i="36"/>
  <c r="N41" i="36" s="1"/>
  <c r="B41" i="36"/>
  <c r="Z40" i="36"/>
  <c r="X40" i="36"/>
  <c r="N40" i="36"/>
  <c r="L40" i="36"/>
  <c r="B40" i="36"/>
  <c r="T39" i="36"/>
  <c r="P39" i="36"/>
  <c r="X39" i="36" s="1"/>
  <c r="H39" i="36"/>
  <c r="D39" i="36"/>
  <c r="L39" i="36" s="1"/>
  <c r="N39" i="36" s="1"/>
  <c r="B39" i="36"/>
  <c r="X38" i="36"/>
  <c r="Z38" i="36" s="1"/>
  <c r="N38" i="36"/>
  <c r="L38" i="36"/>
  <c r="B38" i="36"/>
  <c r="Z37" i="36"/>
  <c r="X37" i="36"/>
  <c r="L37" i="36"/>
  <c r="N37" i="36" s="1"/>
  <c r="B37" i="36"/>
  <c r="Z36" i="36"/>
  <c r="X36" i="36"/>
  <c r="N36" i="36"/>
  <c r="L36" i="36"/>
  <c r="B36" i="36"/>
  <c r="Z35" i="36"/>
  <c r="X35" i="36"/>
  <c r="N35" i="36"/>
  <c r="L35" i="36"/>
  <c r="B35" i="36"/>
  <c r="Z34" i="36"/>
  <c r="X34" i="36"/>
  <c r="V34" i="36"/>
  <c r="N34" i="36"/>
  <c r="L34" i="36"/>
  <c r="B34" i="36"/>
  <c r="X33" i="36"/>
  <c r="Z33" i="36" s="1"/>
  <c r="V33" i="36"/>
  <c r="N33" i="36"/>
  <c r="L33" i="36"/>
  <c r="B33" i="36"/>
  <c r="Z32" i="36"/>
  <c r="X32" i="36"/>
  <c r="N32" i="36"/>
  <c r="L32" i="36"/>
  <c r="B32" i="36"/>
  <c r="Z31" i="36"/>
  <c r="X31" i="36"/>
  <c r="V31" i="36"/>
  <c r="L31" i="36"/>
  <c r="N31" i="36" s="1"/>
  <c r="B31" i="36"/>
  <c r="X30" i="36"/>
  <c r="Z30" i="36" s="1"/>
  <c r="N30" i="36"/>
  <c r="L30" i="36"/>
  <c r="B30" i="36"/>
  <c r="Z29" i="36"/>
  <c r="X29" i="36"/>
  <c r="L29" i="36"/>
  <c r="N29" i="36" s="1"/>
  <c r="B29" i="36"/>
  <c r="T28" i="36"/>
  <c r="P28" i="36"/>
  <c r="X28" i="36" s="1"/>
  <c r="Z28" i="36" s="1"/>
  <c r="L28" i="36"/>
  <c r="N28" i="36" s="1"/>
  <c r="H28" i="36"/>
  <c r="D28" i="36"/>
  <c r="B28" i="36"/>
  <c r="Z27" i="36"/>
  <c r="X27" i="36"/>
  <c r="V27" i="36"/>
  <c r="T27" i="36"/>
  <c r="P27" i="36"/>
  <c r="L27" i="36"/>
  <c r="H27" i="36"/>
  <c r="N27" i="36" s="1"/>
  <c r="D27" i="36"/>
  <c r="T25" i="36"/>
  <c r="Z23" i="36"/>
  <c r="X23" i="36"/>
  <c r="V23" i="36"/>
  <c r="N23" i="36"/>
  <c r="L23" i="36"/>
  <c r="B23" i="36"/>
  <c r="Z22" i="36"/>
  <c r="X22" i="36"/>
  <c r="N22" i="36"/>
  <c r="L22" i="36"/>
  <c r="B22" i="36"/>
  <c r="Z21" i="36"/>
  <c r="X21" i="36"/>
  <c r="L21" i="36"/>
  <c r="N21" i="36" s="1"/>
  <c r="B21" i="36"/>
  <c r="T20" i="36"/>
  <c r="P20" i="36"/>
  <c r="X20" i="36" s="1"/>
  <c r="Z20" i="36" s="1"/>
  <c r="L20" i="36"/>
  <c r="N20" i="36" s="1"/>
  <c r="H20" i="36"/>
  <c r="D20" i="36"/>
  <c r="Z18" i="36"/>
  <c r="X18" i="36"/>
  <c r="P18" i="36"/>
  <c r="N18" i="36"/>
  <c r="L18" i="36"/>
  <c r="D18" i="36"/>
  <c r="B18" i="36"/>
  <c r="Z17" i="36"/>
  <c r="X17" i="36"/>
  <c r="P17" i="36"/>
  <c r="N17" i="36"/>
  <c r="L17" i="36"/>
  <c r="D17" i="36"/>
  <c r="B17" i="36"/>
  <c r="P16" i="36"/>
  <c r="X16" i="36" s="1"/>
  <c r="Z16" i="36" s="1"/>
  <c r="N16" i="36"/>
  <c r="D16" i="36"/>
  <c r="L16" i="36" s="1"/>
  <c r="B16" i="36"/>
  <c r="Z15" i="36"/>
  <c r="X15" i="36"/>
  <c r="P15" i="36"/>
  <c r="N15" i="36"/>
  <c r="L15" i="36"/>
  <c r="D15" i="36"/>
  <c r="B15" i="36"/>
  <c r="Z14" i="36"/>
  <c r="P14" i="36"/>
  <c r="X14" i="36" s="1"/>
  <c r="N14" i="36"/>
  <c r="D14" i="36"/>
  <c r="D12" i="36" s="1"/>
  <c r="B14" i="36"/>
  <c r="Z13" i="36"/>
  <c r="X13" i="36"/>
  <c r="P13" i="36"/>
  <c r="D13" i="36"/>
  <c r="L13" i="36" s="1"/>
  <c r="N13" i="36" s="1"/>
  <c r="B13" i="36"/>
  <c r="T12" i="36"/>
  <c r="V105" i="36" s="1"/>
  <c r="H12" i="36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24" i="35" s="1"/>
  <c r="P12" i="35"/>
  <c r="R34" i="35" s="1"/>
  <c r="H12" i="35"/>
  <c r="J21" i="35" s="1"/>
  <c r="D12" i="35"/>
  <c r="F31" i="35" s="1"/>
  <c r="D5" i="35"/>
  <c r="D4" i="35"/>
  <c r="B39" i="34"/>
  <c r="B38" i="34"/>
  <c r="T34" i="34"/>
  <c r="Z34" i="34" s="1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N20" i="34" s="1"/>
  <c r="D20" i="34"/>
  <c r="T16" i="34"/>
  <c r="Z16" i="34" s="1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P12" i="34"/>
  <c r="R20" i="34" s="1"/>
  <c r="H12" i="34"/>
  <c r="D12" i="34"/>
  <c r="D5" i="34"/>
  <c r="D4" i="34"/>
  <c r="X77" i="33"/>
  <c r="Z77" i="33" s="1"/>
  <c r="N77" i="33"/>
  <c r="L77" i="33"/>
  <c r="Z73" i="33"/>
  <c r="X73" i="33"/>
  <c r="P73" i="33"/>
  <c r="N73" i="33"/>
  <c r="D73" i="33"/>
  <c r="B73" i="33"/>
  <c r="T72" i="33"/>
  <c r="P72" i="33"/>
  <c r="X72" i="33" s="1"/>
  <c r="Z72" i="33" s="1"/>
  <c r="N72" i="33"/>
  <c r="H72" i="33"/>
  <c r="X70" i="33"/>
  <c r="Z70" i="33" s="1"/>
  <c r="N70" i="33"/>
  <c r="L70" i="33"/>
  <c r="B70" i="33"/>
  <c r="Z69" i="33"/>
  <c r="X69" i="33"/>
  <c r="V69" i="33"/>
  <c r="T69" i="33"/>
  <c r="P69" i="33"/>
  <c r="H69" i="33"/>
  <c r="D69" i="33"/>
  <c r="L69" i="33" s="1"/>
  <c r="B69" i="33"/>
  <c r="Z68" i="33"/>
  <c r="X68" i="33"/>
  <c r="L68" i="33"/>
  <c r="N68" i="33" s="1"/>
  <c r="B68" i="33"/>
  <c r="X67" i="33"/>
  <c r="Z67" i="33" s="1"/>
  <c r="N67" i="33"/>
  <c r="L67" i="33"/>
  <c r="B67" i="33"/>
  <c r="X66" i="33"/>
  <c r="Z66" i="33" s="1"/>
  <c r="N66" i="33"/>
  <c r="L66" i="33"/>
  <c r="B66" i="33"/>
  <c r="Z65" i="33"/>
  <c r="X65" i="33"/>
  <c r="V65" i="33"/>
  <c r="N65" i="33"/>
  <c r="L65" i="33"/>
  <c r="B65" i="33"/>
  <c r="Z64" i="33"/>
  <c r="X64" i="33"/>
  <c r="V64" i="33"/>
  <c r="T64" i="33"/>
  <c r="P64" i="33"/>
  <c r="H64" i="33"/>
  <c r="D64" i="33"/>
  <c r="B64" i="33"/>
  <c r="X63" i="33"/>
  <c r="Z63" i="33" s="1"/>
  <c r="L63" i="33"/>
  <c r="N63" i="33" s="1"/>
  <c r="B63" i="33"/>
  <c r="T62" i="33"/>
  <c r="X62" i="33" s="1"/>
  <c r="Z62" i="33" s="1"/>
  <c r="P62" i="33"/>
  <c r="J62" i="33"/>
  <c r="H62" i="33"/>
  <c r="D62" i="33"/>
  <c r="B62" i="33"/>
  <c r="Z61" i="33"/>
  <c r="X61" i="33"/>
  <c r="N61" i="33"/>
  <c r="L61" i="33"/>
  <c r="J61" i="33"/>
  <c r="B61" i="33"/>
  <c r="X60" i="33"/>
  <c r="Z60" i="33" s="1"/>
  <c r="N60" i="33"/>
  <c r="L60" i="33"/>
  <c r="J60" i="33"/>
  <c r="B60" i="33"/>
  <c r="X59" i="33"/>
  <c r="Z59" i="33" s="1"/>
  <c r="N59" i="33"/>
  <c r="L59" i="33"/>
  <c r="B59" i="33"/>
  <c r="T58" i="33"/>
  <c r="X58" i="33" s="1"/>
  <c r="Z58" i="33" s="1"/>
  <c r="P58" i="33"/>
  <c r="J58" i="33"/>
  <c r="H58" i="33"/>
  <c r="D58" i="33"/>
  <c r="B58" i="33"/>
  <c r="Z57" i="33"/>
  <c r="X57" i="33"/>
  <c r="N57" i="33"/>
  <c r="L57" i="33"/>
  <c r="J57" i="33"/>
  <c r="B57" i="33"/>
  <c r="T56" i="33"/>
  <c r="Z56" i="33" s="1"/>
  <c r="P56" i="33"/>
  <c r="X56" i="33" s="1"/>
  <c r="N56" i="33"/>
  <c r="H56" i="33"/>
  <c r="D56" i="33"/>
  <c r="L56" i="33" s="1"/>
  <c r="B56" i="33"/>
  <c r="Z55" i="33"/>
  <c r="X55" i="33"/>
  <c r="L55" i="33"/>
  <c r="N55" i="33" s="1"/>
  <c r="J55" i="33"/>
  <c r="B55" i="33"/>
  <c r="Z54" i="33"/>
  <c r="X54" i="33"/>
  <c r="N54" i="33"/>
  <c r="L54" i="33"/>
  <c r="J54" i="33"/>
  <c r="B54" i="33"/>
  <c r="T53" i="33"/>
  <c r="P53" i="33"/>
  <c r="X53" i="33" s="1"/>
  <c r="H53" i="33"/>
  <c r="D53" i="33"/>
  <c r="L53" i="33" s="1"/>
  <c r="N53" i="33" s="1"/>
  <c r="B53" i="33"/>
  <c r="X52" i="33"/>
  <c r="Z52" i="33" s="1"/>
  <c r="L52" i="33"/>
  <c r="N52" i="33" s="1"/>
  <c r="B52" i="33"/>
  <c r="T51" i="33"/>
  <c r="P51" i="33"/>
  <c r="X51" i="33" s="1"/>
  <c r="Z51" i="33" s="1"/>
  <c r="J51" i="33"/>
  <c r="H51" i="33"/>
  <c r="D51" i="33"/>
  <c r="B51" i="33"/>
  <c r="Z50" i="33"/>
  <c r="X50" i="33"/>
  <c r="N50" i="33"/>
  <c r="L50" i="33"/>
  <c r="B50" i="33"/>
  <c r="X49" i="33"/>
  <c r="T49" i="33"/>
  <c r="Z49" i="33" s="1"/>
  <c r="P49" i="33"/>
  <c r="H49" i="33"/>
  <c r="D49" i="33"/>
  <c r="B49" i="33"/>
  <c r="X48" i="33"/>
  <c r="Z48" i="33" s="1"/>
  <c r="L48" i="33"/>
  <c r="N48" i="33" s="1"/>
  <c r="B48" i="33"/>
  <c r="T47" i="33"/>
  <c r="P47" i="33"/>
  <c r="X47" i="33" s="1"/>
  <c r="H47" i="33"/>
  <c r="D47" i="33"/>
  <c r="B47" i="33"/>
  <c r="Z46" i="33"/>
  <c r="X46" i="33"/>
  <c r="N46" i="33"/>
  <c r="L46" i="33"/>
  <c r="J46" i="33"/>
  <c r="B46" i="33"/>
  <c r="Z45" i="33"/>
  <c r="X45" i="33"/>
  <c r="N45" i="33"/>
  <c r="L45" i="33"/>
  <c r="B45" i="33"/>
  <c r="X44" i="33"/>
  <c r="Z44" i="33" s="1"/>
  <c r="L44" i="33"/>
  <c r="N44" i="33" s="1"/>
  <c r="B44" i="33"/>
  <c r="Z43" i="33"/>
  <c r="X43" i="33"/>
  <c r="V43" i="33"/>
  <c r="N43" i="33"/>
  <c r="L43" i="33"/>
  <c r="J43" i="33"/>
  <c r="B43" i="33"/>
  <c r="Z42" i="33"/>
  <c r="X42" i="33"/>
  <c r="V42" i="33"/>
  <c r="N42" i="33"/>
  <c r="L42" i="33"/>
  <c r="J42" i="33"/>
  <c r="B42" i="33"/>
  <c r="Z41" i="33"/>
  <c r="X41" i="33"/>
  <c r="V41" i="33"/>
  <c r="N41" i="33"/>
  <c r="L41" i="33"/>
  <c r="J41" i="33"/>
  <c r="B41" i="33"/>
  <c r="X40" i="33"/>
  <c r="Z40" i="33" s="1"/>
  <c r="N40" i="33"/>
  <c r="L40" i="33"/>
  <c r="B40" i="33"/>
  <c r="Z39" i="33"/>
  <c r="X39" i="33"/>
  <c r="V39" i="33"/>
  <c r="N39" i="33"/>
  <c r="L39" i="33"/>
  <c r="J39" i="33"/>
  <c r="B39" i="33"/>
  <c r="X38" i="33"/>
  <c r="Z38" i="33" s="1"/>
  <c r="V38" i="33"/>
  <c r="L38" i="33"/>
  <c r="N38" i="33" s="1"/>
  <c r="J38" i="33"/>
  <c r="B38" i="33"/>
  <c r="Z37" i="33"/>
  <c r="X37" i="33"/>
  <c r="V37" i="33"/>
  <c r="N37" i="33"/>
  <c r="L37" i="33"/>
  <c r="J37" i="33"/>
  <c r="B37" i="33"/>
  <c r="T36" i="33"/>
  <c r="Z36" i="33" s="1"/>
  <c r="P36" i="33"/>
  <c r="X36" i="33" s="1"/>
  <c r="J36" i="33"/>
  <c r="H36" i="33"/>
  <c r="N36" i="33" s="1"/>
  <c r="D36" i="33"/>
  <c r="L36" i="33" s="1"/>
  <c r="B36" i="33"/>
  <c r="Z35" i="33"/>
  <c r="X35" i="33"/>
  <c r="V35" i="33"/>
  <c r="N35" i="33"/>
  <c r="L35" i="33"/>
  <c r="J35" i="33"/>
  <c r="B35" i="33"/>
  <c r="X34" i="33"/>
  <c r="Z34" i="33" s="1"/>
  <c r="V34" i="33"/>
  <c r="L34" i="33"/>
  <c r="N34" i="33" s="1"/>
  <c r="J34" i="33"/>
  <c r="B34" i="33"/>
  <c r="Z33" i="33"/>
  <c r="X33" i="33"/>
  <c r="V33" i="33"/>
  <c r="N33" i="33"/>
  <c r="L33" i="33"/>
  <c r="J33" i="33"/>
  <c r="B33" i="33"/>
  <c r="Z32" i="33"/>
  <c r="X32" i="33"/>
  <c r="N32" i="33"/>
  <c r="L32" i="33"/>
  <c r="B32" i="33"/>
  <c r="Z31" i="33"/>
  <c r="X31" i="33"/>
  <c r="V31" i="33"/>
  <c r="N31" i="33"/>
  <c r="L31" i="33"/>
  <c r="J31" i="33"/>
  <c r="B31" i="33"/>
  <c r="X30" i="33"/>
  <c r="Z30" i="33" s="1"/>
  <c r="V30" i="33"/>
  <c r="L30" i="33"/>
  <c r="N30" i="33" s="1"/>
  <c r="J30" i="33"/>
  <c r="B30" i="33"/>
  <c r="Z29" i="33"/>
  <c r="X29" i="33"/>
  <c r="V29" i="33"/>
  <c r="N29" i="33"/>
  <c r="L29" i="33"/>
  <c r="J29" i="33"/>
  <c r="B29" i="33"/>
  <c r="X28" i="33"/>
  <c r="Z28" i="33" s="1"/>
  <c r="N28" i="33"/>
  <c r="L28" i="33"/>
  <c r="B28" i="33"/>
  <c r="Z27" i="33"/>
  <c r="X27" i="33"/>
  <c r="V27" i="33"/>
  <c r="N27" i="33"/>
  <c r="L27" i="33"/>
  <c r="J27" i="33"/>
  <c r="B27" i="33"/>
  <c r="T26" i="33"/>
  <c r="P26" i="33"/>
  <c r="X26" i="33" s="1"/>
  <c r="L26" i="33"/>
  <c r="H26" i="33"/>
  <c r="N26" i="33" s="1"/>
  <c r="D26" i="33"/>
  <c r="B26" i="33"/>
  <c r="V25" i="33"/>
  <c r="T25" i="33"/>
  <c r="P25" i="33"/>
  <c r="X25" i="33" s="1"/>
  <c r="Z25" i="33" s="1"/>
  <c r="J25" i="33"/>
  <c r="H25" i="33"/>
  <c r="D25" i="33"/>
  <c r="L25" i="33" s="1"/>
  <c r="H23" i="33"/>
  <c r="H75" i="33" s="1"/>
  <c r="H79" i="33" s="1"/>
  <c r="Z21" i="33"/>
  <c r="X21" i="33"/>
  <c r="V21" i="33"/>
  <c r="N21" i="33"/>
  <c r="L21" i="33"/>
  <c r="J21" i="33"/>
  <c r="B21" i="33"/>
  <c r="Z20" i="33"/>
  <c r="X20" i="33"/>
  <c r="N20" i="33"/>
  <c r="L20" i="33"/>
  <c r="B20" i="33"/>
  <c r="Z19" i="33"/>
  <c r="T19" i="33"/>
  <c r="X19" i="33" s="1"/>
  <c r="P19" i="33"/>
  <c r="N19" i="33"/>
  <c r="J19" i="33"/>
  <c r="H19" i="33"/>
  <c r="D19" i="33"/>
  <c r="L19" i="33" s="1"/>
  <c r="Z17" i="33"/>
  <c r="P17" i="33"/>
  <c r="X17" i="33" s="1"/>
  <c r="N17" i="33"/>
  <c r="L17" i="33"/>
  <c r="D17" i="33"/>
  <c r="B17" i="33"/>
  <c r="Z16" i="33"/>
  <c r="X16" i="33"/>
  <c r="P16" i="33"/>
  <c r="N16" i="33"/>
  <c r="D16" i="33"/>
  <c r="D12" i="33" s="1"/>
  <c r="B16" i="33"/>
  <c r="Z15" i="33"/>
  <c r="X15" i="33"/>
  <c r="P15" i="33"/>
  <c r="N15" i="33"/>
  <c r="D15" i="33"/>
  <c r="L15" i="33" s="1"/>
  <c r="B15" i="33"/>
  <c r="P14" i="33"/>
  <c r="X14" i="33" s="1"/>
  <c r="Z14" i="33" s="1"/>
  <c r="D14" i="33"/>
  <c r="L14" i="33" s="1"/>
  <c r="N14" i="33" s="1"/>
  <c r="B14" i="33"/>
  <c r="P13" i="33"/>
  <c r="X13" i="33" s="1"/>
  <c r="Z13" i="33" s="1"/>
  <c r="N13" i="33"/>
  <c r="L13" i="33"/>
  <c r="D13" i="33"/>
  <c r="B13" i="33"/>
  <c r="T12" i="33"/>
  <c r="V73" i="33" s="1"/>
  <c r="H12" i="33"/>
  <c r="J68" i="33" s="1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D15" i="32"/>
  <c r="T13" i="32"/>
  <c r="Z13" i="32" s="1"/>
  <c r="P13" i="32"/>
  <c r="H13" i="32"/>
  <c r="D13" i="32"/>
  <c r="B13" i="32"/>
  <c r="T12" i="32"/>
  <c r="V24" i="32" s="1"/>
  <c r="P12" i="32"/>
  <c r="R15" i="32" s="1"/>
  <c r="H12" i="32"/>
  <c r="J18" i="32" s="1"/>
  <c r="D12" i="32"/>
  <c r="F24" i="32" s="1"/>
  <c r="D5" i="32"/>
  <c r="D4" i="32"/>
  <c r="B39" i="31"/>
  <c r="B38" i="31"/>
  <c r="T34" i="31"/>
  <c r="P34" i="31"/>
  <c r="H34" i="31"/>
  <c r="N34" i="31" s="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Z13" i="31" s="1"/>
  <c r="P13" i="31"/>
  <c r="H13" i="31"/>
  <c r="N13" i="31" s="1"/>
  <c r="D13" i="31"/>
  <c r="B13" i="31"/>
  <c r="T12" i="31"/>
  <c r="V34" i="31" s="1"/>
  <c r="P12" i="31"/>
  <c r="R15" i="31" s="1"/>
  <c r="H12" i="31"/>
  <c r="J21" i="31" s="1"/>
  <c r="D12" i="31"/>
  <c r="D5" i="31"/>
  <c r="D4" i="31"/>
  <c r="X124" i="30"/>
  <c r="Z124" i="30" s="1"/>
  <c r="L124" i="30"/>
  <c r="N124" i="30" s="1"/>
  <c r="Z120" i="30"/>
  <c r="X120" i="30"/>
  <c r="P120" i="30"/>
  <c r="N120" i="30"/>
  <c r="D120" i="30"/>
  <c r="D117" i="30" s="1"/>
  <c r="L117" i="30" s="1"/>
  <c r="B120" i="30"/>
  <c r="X119" i="30"/>
  <c r="Z119" i="30" s="1"/>
  <c r="P119" i="30"/>
  <c r="L119" i="30"/>
  <c r="N119" i="30" s="1"/>
  <c r="D119" i="30"/>
  <c r="B119" i="30"/>
  <c r="P118" i="30"/>
  <c r="P117" i="30" s="1"/>
  <c r="X117" i="30" s="1"/>
  <c r="Z117" i="30" s="1"/>
  <c r="N118" i="30"/>
  <c r="L118" i="30"/>
  <c r="D118" i="30"/>
  <c r="B118" i="30"/>
  <c r="T117" i="30"/>
  <c r="H117" i="30"/>
  <c r="Z115" i="30"/>
  <c r="X115" i="30"/>
  <c r="L115" i="30"/>
  <c r="N115" i="30" s="1"/>
  <c r="B115" i="30"/>
  <c r="T114" i="30"/>
  <c r="Z114" i="30" s="1"/>
  <c r="P114" i="30"/>
  <c r="X114" i="30" s="1"/>
  <c r="H114" i="30"/>
  <c r="D114" i="30"/>
  <c r="L114" i="30" s="1"/>
  <c r="N114" i="30" s="1"/>
  <c r="B114" i="30"/>
  <c r="X113" i="30"/>
  <c r="Z113" i="30" s="1"/>
  <c r="L113" i="30"/>
  <c r="N113" i="30" s="1"/>
  <c r="B113" i="30"/>
  <c r="X112" i="30"/>
  <c r="Z112" i="30" s="1"/>
  <c r="L112" i="30"/>
  <c r="N112" i="30" s="1"/>
  <c r="B112" i="30"/>
  <c r="T111" i="30"/>
  <c r="P111" i="30"/>
  <c r="X111" i="30" s="1"/>
  <c r="Z111" i="30" s="1"/>
  <c r="H111" i="30"/>
  <c r="D111" i="30"/>
  <c r="L111" i="30" s="1"/>
  <c r="B111" i="30"/>
  <c r="Z110" i="30"/>
  <c r="X110" i="30"/>
  <c r="N110" i="30"/>
  <c r="L110" i="30"/>
  <c r="B110" i="30"/>
  <c r="T109" i="30"/>
  <c r="P109" i="30"/>
  <c r="X109" i="30" s="1"/>
  <c r="L109" i="30"/>
  <c r="N109" i="30" s="1"/>
  <c r="H109" i="30"/>
  <c r="D109" i="30"/>
  <c r="B109" i="30"/>
  <c r="X108" i="30"/>
  <c r="Z108" i="30" s="1"/>
  <c r="L108" i="30"/>
  <c r="N108" i="30" s="1"/>
  <c r="B108" i="30"/>
  <c r="Z107" i="30"/>
  <c r="X107" i="30"/>
  <c r="N107" i="30"/>
  <c r="L107" i="30"/>
  <c r="B107" i="30"/>
  <c r="Z106" i="30"/>
  <c r="X106" i="30"/>
  <c r="N106" i="30"/>
  <c r="L106" i="30"/>
  <c r="B106" i="30"/>
  <c r="X105" i="30"/>
  <c r="Z105" i="30" s="1"/>
  <c r="L105" i="30"/>
  <c r="N105" i="30" s="1"/>
  <c r="B105" i="30"/>
  <c r="Z104" i="30"/>
  <c r="X104" i="30"/>
  <c r="N104" i="30"/>
  <c r="L104" i="30"/>
  <c r="B104" i="30"/>
  <c r="T103" i="30"/>
  <c r="Z103" i="30" s="1"/>
  <c r="P103" i="30"/>
  <c r="X103" i="30" s="1"/>
  <c r="H103" i="30"/>
  <c r="D103" i="30"/>
  <c r="L103" i="30" s="1"/>
  <c r="B103" i="30"/>
  <c r="Z102" i="30"/>
  <c r="X102" i="30"/>
  <c r="N102" i="30"/>
  <c r="L102" i="30"/>
  <c r="B102" i="30"/>
  <c r="X101" i="30"/>
  <c r="Z101" i="30" s="1"/>
  <c r="N101" i="30"/>
  <c r="L101" i="30"/>
  <c r="B101" i="30"/>
  <c r="T100" i="30"/>
  <c r="P100" i="30"/>
  <c r="X100" i="30" s="1"/>
  <c r="Z100" i="30" s="1"/>
  <c r="H100" i="30"/>
  <c r="L100" i="30" s="1"/>
  <c r="N100" i="30" s="1"/>
  <c r="D100" i="30"/>
  <c r="B100" i="30"/>
  <c r="Z99" i="30"/>
  <c r="X99" i="30"/>
  <c r="N99" i="30"/>
  <c r="L99" i="30"/>
  <c r="B99" i="30"/>
  <c r="Z98" i="30"/>
  <c r="X98" i="30"/>
  <c r="N98" i="30"/>
  <c r="L98" i="30"/>
  <c r="B98" i="30"/>
  <c r="T97" i="30"/>
  <c r="P97" i="30"/>
  <c r="X97" i="30" s="1"/>
  <c r="L97" i="30"/>
  <c r="N97" i="30" s="1"/>
  <c r="H97" i="30"/>
  <c r="D97" i="30"/>
  <c r="B97" i="30"/>
  <c r="Z96" i="30"/>
  <c r="X96" i="30"/>
  <c r="N96" i="30"/>
  <c r="L96" i="30"/>
  <c r="B96" i="30"/>
  <c r="X95" i="30"/>
  <c r="Z95" i="30" s="1"/>
  <c r="N95" i="30"/>
  <c r="L95" i="30"/>
  <c r="B95" i="30"/>
  <c r="Z94" i="30"/>
  <c r="X94" i="30"/>
  <c r="N94" i="30"/>
  <c r="L94" i="30"/>
  <c r="B94" i="30"/>
  <c r="T93" i="30"/>
  <c r="P93" i="30"/>
  <c r="X93" i="30" s="1"/>
  <c r="L93" i="30"/>
  <c r="N93" i="30" s="1"/>
  <c r="H93" i="30"/>
  <c r="D93" i="30"/>
  <c r="B93" i="30"/>
  <c r="Z92" i="30"/>
  <c r="X92" i="30"/>
  <c r="N92" i="30"/>
  <c r="L92" i="30"/>
  <c r="B92" i="30"/>
  <c r="X91" i="30"/>
  <c r="Z91" i="30" s="1"/>
  <c r="N91" i="30"/>
  <c r="L91" i="30"/>
  <c r="B91" i="30"/>
  <c r="T90" i="30"/>
  <c r="X90" i="30" s="1"/>
  <c r="Z90" i="30" s="1"/>
  <c r="P90" i="30"/>
  <c r="L90" i="30"/>
  <c r="N90" i="30" s="1"/>
  <c r="H90" i="30"/>
  <c r="D90" i="30"/>
  <c r="B90" i="30"/>
  <c r="X89" i="30"/>
  <c r="Z89" i="30" s="1"/>
  <c r="L89" i="30"/>
  <c r="N89" i="30" s="1"/>
  <c r="B89" i="30"/>
  <c r="X88" i="30"/>
  <c r="Z88" i="30" s="1"/>
  <c r="T88" i="30"/>
  <c r="P88" i="30"/>
  <c r="H88" i="30"/>
  <c r="N88" i="30" s="1"/>
  <c r="D88" i="30"/>
  <c r="L88" i="30" s="1"/>
  <c r="B88" i="30"/>
  <c r="Z87" i="30"/>
  <c r="X87" i="30"/>
  <c r="N87" i="30"/>
  <c r="L87" i="30"/>
  <c r="B87" i="30"/>
  <c r="T86" i="30"/>
  <c r="Z86" i="30" s="1"/>
  <c r="P86" i="30"/>
  <c r="X86" i="30" s="1"/>
  <c r="N86" i="30"/>
  <c r="H86" i="30"/>
  <c r="D86" i="30"/>
  <c r="L86" i="30" s="1"/>
  <c r="B86" i="30"/>
  <c r="X85" i="30"/>
  <c r="Z85" i="30" s="1"/>
  <c r="L85" i="30"/>
  <c r="N85" i="30" s="1"/>
  <c r="B85" i="30"/>
  <c r="T84" i="30"/>
  <c r="P84" i="30"/>
  <c r="X84" i="30" s="1"/>
  <c r="Z84" i="30" s="1"/>
  <c r="H84" i="30"/>
  <c r="L84" i="30" s="1"/>
  <c r="N84" i="30" s="1"/>
  <c r="D84" i="30"/>
  <c r="B84" i="30"/>
  <c r="X83" i="30"/>
  <c r="Z83" i="30" s="1"/>
  <c r="N83" i="30"/>
  <c r="L83" i="30"/>
  <c r="B83" i="30"/>
  <c r="T82" i="30"/>
  <c r="X82" i="30" s="1"/>
  <c r="Z82" i="30" s="1"/>
  <c r="P82" i="30"/>
  <c r="L82" i="30"/>
  <c r="N82" i="30" s="1"/>
  <c r="H82" i="30"/>
  <c r="D82" i="30"/>
  <c r="B82" i="30"/>
  <c r="Z81" i="30"/>
  <c r="X81" i="30"/>
  <c r="N81" i="30"/>
  <c r="L81" i="30"/>
  <c r="B81" i="30"/>
  <c r="X80" i="30"/>
  <c r="Z80" i="30" s="1"/>
  <c r="L80" i="30"/>
  <c r="N80" i="30" s="1"/>
  <c r="B80" i="30"/>
  <c r="X79" i="30"/>
  <c r="Z79" i="30" s="1"/>
  <c r="T79" i="30"/>
  <c r="P79" i="30"/>
  <c r="H79" i="30"/>
  <c r="D79" i="30"/>
  <c r="B79" i="30"/>
  <c r="Z78" i="30"/>
  <c r="X78" i="30"/>
  <c r="N78" i="30"/>
  <c r="L78" i="30"/>
  <c r="B78" i="30"/>
  <c r="X77" i="30"/>
  <c r="Z77" i="30" s="1"/>
  <c r="L77" i="30"/>
  <c r="N77" i="30" s="1"/>
  <c r="B77" i="30"/>
  <c r="X76" i="30"/>
  <c r="Z76" i="30" s="1"/>
  <c r="T76" i="30"/>
  <c r="P76" i="30"/>
  <c r="H76" i="30"/>
  <c r="D76" i="30"/>
  <c r="L76" i="30" s="1"/>
  <c r="B76" i="30"/>
  <c r="Z75" i="30"/>
  <c r="X75" i="30"/>
  <c r="N75" i="30"/>
  <c r="L75" i="30"/>
  <c r="B75" i="30"/>
  <c r="T74" i="30"/>
  <c r="Z74" i="30" s="1"/>
  <c r="P74" i="30"/>
  <c r="X74" i="30" s="1"/>
  <c r="N74" i="30"/>
  <c r="H74" i="30"/>
  <c r="D74" i="30"/>
  <c r="L74" i="30" s="1"/>
  <c r="B74" i="30"/>
  <c r="X73" i="30"/>
  <c r="Z73" i="30" s="1"/>
  <c r="L73" i="30"/>
  <c r="N73" i="30" s="1"/>
  <c r="B73" i="30"/>
  <c r="T72" i="30"/>
  <c r="P72" i="30"/>
  <c r="X72" i="30" s="1"/>
  <c r="Z72" i="30" s="1"/>
  <c r="H72" i="30"/>
  <c r="L72" i="30" s="1"/>
  <c r="N72" i="30" s="1"/>
  <c r="D72" i="30"/>
  <c r="B72" i="30"/>
  <c r="Z71" i="30"/>
  <c r="X71" i="30"/>
  <c r="N71" i="30"/>
  <c r="L71" i="30"/>
  <c r="B71" i="30"/>
  <c r="Z70" i="30"/>
  <c r="T70" i="30"/>
  <c r="X70" i="30" s="1"/>
  <c r="P70" i="30"/>
  <c r="N70" i="30"/>
  <c r="L70" i="30"/>
  <c r="H70" i="30"/>
  <c r="D70" i="30"/>
  <c r="B70" i="30"/>
  <c r="X69" i="30"/>
  <c r="Z69" i="30" s="1"/>
  <c r="L69" i="30"/>
  <c r="N69" i="30" s="1"/>
  <c r="B69" i="30"/>
  <c r="X68" i="30"/>
  <c r="Z68" i="30" s="1"/>
  <c r="T68" i="30"/>
  <c r="P68" i="30"/>
  <c r="H68" i="30"/>
  <c r="N68" i="30" s="1"/>
  <c r="D68" i="30"/>
  <c r="L68" i="30" s="1"/>
  <c r="B68" i="30"/>
  <c r="Z67" i="30"/>
  <c r="X67" i="30"/>
  <c r="L67" i="30"/>
  <c r="N67" i="30" s="1"/>
  <c r="B67" i="30"/>
  <c r="T66" i="30"/>
  <c r="P66" i="30"/>
  <c r="X66" i="30" s="1"/>
  <c r="H66" i="30"/>
  <c r="D66" i="30"/>
  <c r="L66" i="30" s="1"/>
  <c r="N66" i="30" s="1"/>
  <c r="B66" i="30"/>
  <c r="X65" i="30"/>
  <c r="Z65" i="30" s="1"/>
  <c r="L65" i="30"/>
  <c r="N65" i="30" s="1"/>
  <c r="B65" i="30"/>
  <c r="T64" i="30"/>
  <c r="P64" i="30"/>
  <c r="X64" i="30" s="1"/>
  <c r="Z64" i="30" s="1"/>
  <c r="H64" i="30"/>
  <c r="L64" i="30" s="1"/>
  <c r="N64" i="30" s="1"/>
  <c r="D64" i="30"/>
  <c r="B64" i="30"/>
  <c r="Z63" i="30"/>
  <c r="X63" i="30"/>
  <c r="N63" i="30"/>
  <c r="L63" i="30"/>
  <c r="B63" i="30"/>
  <c r="Z62" i="30"/>
  <c r="X62" i="30"/>
  <c r="N62" i="30"/>
  <c r="L62" i="30"/>
  <c r="B62" i="30"/>
  <c r="X61" i="30"/>
  <c r="Z61" i="30" s="1"/>
  <c r="L61" i="30"/>
  <c r="N61" i="30" s="1"/>
  <c r="B61" i="30"/>
  <c r="X60" i="30"/>
  <c r="Z60" i="30" s="1"/>
  <c r="L60" i="30"/>
  <c r="N60" i="30" s="1"/>
  <c r="J60" i="30"/>
  <c r="B60" i="30"/>
  <c r="Z59" i="30"/>
  <c r="X59" i="30"/>
  <c r="N59" i="30"/>
  <c r="L59" i="30"/>
  <c r="B59" i="30"/>
  <c r="Z58" i="30"/>
  <c r="X58" i="30"/>
  <c r="N58" i="30"/>
  <c r="L58" i="30"/>
  <c r="B58" i="30"/>
  <c r="X57" i="30"/>
  <c r="Z57" i="30" s="1"/>
  <c r="L57" i="30"/>
  <c r="N57" i="30" s="1"/>
  <c r="B57" i="30"/>
  <c r="Z56" i="30"/>
  <c r="X56" i="30"/>
  <c r="N56" i="30"/>
  <c r="L56" i="30"/>
  <c r="B56" i="30"/>
  <c r="X55" i="30"/>
  <c r="Z55" i="30" s="1"/>
  <c r="N55" i="30"/>
  <c r="L55" i="30"/>
  <c r="B55" i="30"/>
  <c r="Z54" i="30"/>
  <c r="X54" i="30"/>
  <c r="N54" i="30"/>
  <c r="L54" i="30"/>
  <c r="B54" i="30"/>
  <c r="T53" i="30"/>
  <c r="Z53" i="30" s="1"/>
  <c r="P53" i="30"/>
  <c r="X53" i="30" s="1"/>
  <c r="L53" i="30"/>
  <c r="N53" i="30" s="1"/>
  <c r="H53" i="30"/>
  <c r="D53" i="30"/>
  <c r="B53" i="30"/>
  <c r="X52" i="30"/>
  <c r="Z52" i="30" s="1"/>
  <c r="L52" i="30"/>
  <c r="N52" i="30" s="1"/>
  <c r="B52" i="30"/>
  <c r="X51" i="30"/>
  <c r="Z51" i="30" s="1"/>
  <c r="N51" i="30"/>
  <c r="L51" i="30"/>
  <c r="B51" i="30"/>
  <c r="Z50" i="30"/>
  <c r="X50" i="30"/>
  <c r="N50" i="30"/>
  <c r="L50" i="30"/>
  <c r="B50" i="30"/>
  <c r="Z49" i="30"/>
  <c r="X49" i="30"/>
  <c r="N49" i="30"/>
  <c r="L49" i="30"/>
  <c r="J49" i="30"/>
  <c r="B49" i="30"/>
  <c r="X48" i="30"/>
  <c r="Z48" i="30" s="1"/>
  <c r="L48" i="30"/>
  <c r="N48" i="30" s="1"/>
  <c r="J48" i="30"/>
  <c r="B48" i="30"/>
  <c r="Z47" i="30"/>
  <c r="X47" i="30"/>
  <c r="L47" i="30"/>
  <c r="N47" i="30" s="1"/>
  <c r="B47" i="30"/>
  <c r="Z46" i="30"/>
  <c r="X46" i="30"/>
  <c r="N46" i="30"/>
  <c r="L46" i="30"/>
  <c r="B46" i="30"/>
  <c r="X45" i="30"/>
  <c r="Z45" i="30" s="1"/>
  <c r="L45" i="30"/>
  <c r="N45" i="30" s="1"/>
  <c r="B45" i="30"/>
  <c r="X44" i="30"/>
  <c r="Z44" i="30" s="1"/>
  <c r="L44" i="30"/>
  <c r="N44" i="30" s="1"/>
  <c r="B44" i="30"/>
  <c r="X43" i="30"/>
  <c r="Z43" i="30" s="1"/>
  <c r="T43" i="30"/>
  <c r="P43" i="30"/>
  <c r="H43" i="30"/>
  <c r="D43" i="30"/>
  <c r="B43" i="30"/>
  <c r="T42" i="30"/>
  <c r="P42" i="30"/>
  <c r="X42" i="30" s="1"/>
  <c r="H42" i="30"/>
  <c r="D42" i="30"/>
  <c r="L42" i="30" s="1"/>
  <c r="N42" i="30" s="1"/>
  <c r="Z38" i="30"/>
  <c r="X38" i="30"/>
  <c r="N38" i="30"/>
  <c r="L38" i="30"/>
  <c r="B38" i="30"/>
  <c r="Z37" i="30"/>
  <c r="X37" i="30"/>
  <c r="N37" i="30"/>
  <c r="L37" i="30"/>
  <c r="B37" i="30"/>
  <c r="Z36" i="30"/>
  <c r="X36" i="30"/>
  <c r="N36" i="30"/>
  <c r="L36" i="30"/>
  <c r="B36" i="30"/>
  <c r="Z35" i="30"/>
  <c r="X35" i="30"/>
  <c r="N35" i="30"/>
  <c r="L35" i="30"/>
  <c r="B35" i="30"/>
  <c r="Z34" i="30"/>
  <c r="X34" i="30"/>
  <c r="N34" i="30"/>
  <c r="L34" i="30"/>
  <c r="J34" i="30"/>
  <c r="B34" i="30"/>
  <c r="Z33" i="30"/>
  <c r="X33" i="30"/>
  <c r="N33" i="30"/>
  <c r="L33" i="30"/>
  <c r="J33" i="30"/>
  <c r="B33" i="30"/>
  <c r="Z32" i="30"/>
  <c r="X32" i="30"/>
  <c r="N32" i="30"/>
  <c r="L32" i="30"/>
  <c r="J32" i="30"/>
  <c r="B32" i="30"/>
  <c r="Z31" i="30"/>
  <c r="X31" i="30"/>
  <c r="N31" i="30"/>
  <c r="L31" i="30"/>
  <c r="B31" i="30"/>
  <c r="Z30" i="30"/>
  <c r="X30" i="30"/>
  <c r="N30" i="30"/>
  <c r="L30" i="30"/>
  <c r="B30" i="30"/>
  <c r="Z29" i="30"/>
  <c r="X29" i="30"/>
  <c r="N29" i="30"/>
  <c r="L29" i="30"/>
  <c r="J29" i="30"/>
  <c r="B29" i="30"/>
  <c r="Z28" i="30"/>
  <c r="X28" i="30"/>
  <c r="N28" i="30"/>
  <c r="L28" i="30"/>
  <c r="B28" i="30"/>
  <c r="Z27" i="30"/>
  <c r="X27" i="30"/>
  <c r="N27" i="30"/>
  <c r="L27" i="30"/>
  <c r="B27" i="30"/>
  <c r="Z26" i="30"/>
  <c r="X26" i="30"/>
  <c r="N26" i="30"/>
  <c r="L26" i="30"/>
  <c r="J26" i="30"/>
  <c r="B26" i="30"/>
  <c r="Z25" i="30"/>
  <c r="X25" i="30"/>
  <c r="N25" i="30"/>
  <c r="L25" i="30"/>
  <c r="J25" i="30"/>
  <c r="B25" i="30"/>
  <c r="Z24" i="30"/>
  <c r="X24" i="30"/>
  <c r="N24" i="30"/>
  <c r="L24" i="30"/>
  <c r="J24" i="30"/>
  <c r="B24" i="30"/>
  <c r="Z23" i="30"/>
  <c r="X23" i="30"/>
  <c r="N23" i="30"/>
  <c r="L23" i="30"/>
  <c r="B23" i="30"/>
  <c r="Z22" i="30"/>
  <c r="X22" i="30"/>
  <c r="N22" i="30"/>
  <c r="L22" i="30"/>
  <c r="J22" i="30"/>
  <c r="B22" i="30"/>
  <c r="Z21" i="30"/>
  <c r="X21" i="30"/>
  <c r="N21" i="30"/>
  <c r="L21" i="30"/>
  <c r="J21" i="30"/>
  <c r="B21" i="30"/>
  <c r="X20" i="30"/>
  <c r="Z20" i="30" s="1"/>
  <c r="L20" i="30"/>
  <c r="N20" i="30" s="1"/>
  <c r="B20" i="30"/>
  <c r="Z19" i="30"/>
  <c r="X19" i="30"/>
  <c r="T19" i="30"/>
  <c r="P19" i="30"/>
  <c r="J19" i="30"/>
  <c r="H19" i="30"/>
  <c r="D19" i="30"/>
  <c r="Z17" i="30"/>
  <c r="X17" i="30"/>
  <c r="P17" i="30"/>
  <c r="N17" i="30"/>
  <c r="L17" i="30"/>
  <c r="D17" i="30"/>
  <c r="B17" i="30"/>
  <c r="Z16" i="30"/>
  <c r="X16" i="30"/>
  <c r="P16" i="30"/>
  <c r="N16" i="30"/>
  <c r="D16" i="30"/>
  <c r="L16" i="30" s="1"/>
  <c r="B16" i="30"/>
  <c r="Z15" i="30"/>
  <c r="P15" i="30"/>
  <c r="X15" i="30" s="1"/>
  <c r="N15" i="30"/>
  <c r="D15" i="30"/>
  <c r="L15" i="30" s="1"/>
  <c r="B15" i="30"/>
  <c r="Z14" i="30"/>
  <c r="P14" i="30"/>
  <c r="X14" i="30" s="1"/>
  <c r="N14" i="30"/>
  <c r="L14" i="30"/>
  <c r="D14" i="30"/>
  <c r="B14" i="30"/>
  <c r="Z13" i="30"/>
  <c r="X13" i="30"/>
  <c r="P13" i="30"/>
  <c r="L13" i="30"/>
  <c r="N13" i="30" s="1"/>
  <c r="D13" i="30"/>
  <c r="D12" i="30" s="1"/>
  <c r="B13" i="30"/>
  <c r="T12" i="30"/>
  <c r="V117" i="30" s="1"/>
  <c r="H12" i="30"/>
  <c r="J115" i="30" s="1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X33" i="29" s="1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X25" i="29" s="1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21" i="29" s="1"/>
  <c r="P12" i="29"/>
  <c r="R34" i="29" s="1"/>
  <c r="H12" i="29"/>
  <c r="J36" i="29" s="1"/>
  <c r="D12" i="29"/>
  <c r="F25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N20" i="28" s="1"/>
  <c r="D20" i="28"/>
  <c r="T16" i="28"/>
  <c r="Z16" i="28" s="1"/>
  <c r="P16" i="28"/>
  <c r="H16" i="28"/>
  <c r="N16" i="28" s="1"/>
  <c r="D16" i="28"/>
  <c r="B16" i="28"/>
  <c r="T15" i="28"/>
  <c r="Z15" i="28" s="1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P12" i="28"/>
  <c r="R20" i="28" s="1"/>
  <c r="H12" i="28"/>
  <c r="J15" i="28" s="1"/>
  <c r="D12" i="28"/>
  <c r="F31" i="28" s="1"/>
  <c r="D5" i="28"/>
  <c r="D4" i="28"/>
  <c r="X91" i="27"/>
  <c r="Z91" i="27" s="1"/>
  <c r="L91" i="27"/>
  <c r="N91" i="27" s="1"/>
  <c r="Z87" i="27"/>
  <c r="X87" i="27"/>
  <c r="P87" i="27"/>
  <c r="N87" i="27"/>
  <c r="D87" i="27"/>
  <c r="L87" i="27" s="1"/>
  <c r="B87" i="27"/>
  <c r="Z86" i="27"/>
  <c r="P86" i="27"/>
  <c r="X86" i="27" s="1"/>
  <c r="N86" i="27"/>
  <c r="L86" i="27"/>
  <c r="D86" i="27"/>
  <c r="B86" i="27"/>
  <c r="P85" i="27"/>
  <c r="X85" i="27" s="1"/>
  <c r="Z85" i="27" s="1"/>
  <c r="N85" i="27"/>
  <c r="D85" i="27"/>
  <c r="L85" i="27" s="1"/>
  <c r="B85" i="27"/>
  <c r="X84" i="27"/>
  <c r="Z84" i="27" s="1"/>
  <c r="P84" i="27"/>
  <c r="D84" i="27"/>
  <c r="L84" i="27" s="1"/>
  <c r="N84" i="27" s="1"/>
  <c r="B84" i="27"/>
  <c r="T83" i="27"/>
  <c r="H83" i="27"/>
  <c r="Z81" i="27"/>
  <c r="X81" i="27"/>
  <c r="N81" i="27"/>
  <c r="L81" i="27"/>
  <c r="B81" i="27"/>
  <c r="Z80" i="27"/>
  <c r="X80" i="27"/>
  <c r="T80" i="27"/>
  <c r="P80" i="27"/>
  <c r="H80" i="27"/>
  <c r="N80" i="27" s="1"/>
  <c r="D80" i="27"/>
  <c r="B80" i="27"/>
  <c r="Z79" i="27"/>
  <c r="X79" i="27"/>
  <c r="N79" i="27"/>
  <c r="L79" i="27"/>
  <c r="B79" i="27"/>
  <c r="Z78" i="27"/>
  <c r="X78" i="27"/>
  <c r="N78" i="27"/>
  <c r="L78" i="27"/>
  <c r="B78" i="27"/>
  <c r="T77" i="27"/>
  <c r="P77" i="27"/>
  <c r="H77" i="27"/>
  <c r="D77" i="27"/>
  <c r="L77" i="27" s="1"/>
  <c r="N77" i="27" s="1"/>
  <c r="B77" i="27"/>
  <c r="X76" i="27"/>
  <c r="Z76" i="27" s="1"/>
  <c r="L76" i="27"/>
  <c r="N76" i="27" s="1"/>
  <c r="B76" i="27"/>
  <c r="Z75" i="27"/>
  <c r="X75" i="27"/>
  <c r="N75" i="27"/>
  <c r="L75" i="27"/>
  <c r="B75" i="27"/>
  <c r="T74" i="27"/>
  <c r="P74" i="27"/>
  <c r="X74" i="27" s="1"/>
  <c r="H74" i="27"/>
  <c r="D74" i="27"/>
  <c r="L74" i="27" s="1"/>
  <c r="N74" i="27" s="1"/>
  <c r="B74" i="27"/>
  <c r="X73" i="27"/>
  <c r="Z73" i="27" s="1"/>
  <c r="L73" i="27"/>
  <c r="N73" i="27" s="1"/>
  <c r="B73" i="27"/>
  <c r="T72" i="27"/>
  <c r="P72" i="27"/>
  <c r="X72" i="27" s="1"/>
  <c r="Z72" i="27" s="1"/>
  <c r="H72" i="27"/>
  <c r="L72" i="27" s="1"/>
  <c r="N72" i="27" s="1"/>
  <c r="D72" i="27"/>
  <c r="B72" i="27"/>
  <c r="Z71" i="27"/>
  <c r="X71" i="27"/>
  <c r="N71" i="27"/>
  <c r="L71" i="27"/>
  <c r="B71" i="27"/>
  <c r="Z70" i="27"/>
  <c r="X70" i="27"/>
  <c r="N70" i="27"/>
  <c r="L70" i="27"/>
  <c r="B70" i="27"/>
  <c r="Z69" i="27"/>
  <c r="X69" i="27"/>
  <c r="N69" i="27"/>
  <c r="L69" i="27"/>
  <c r="B69" i="27"/>
  <c r="T68" i="27"/>
  <c r="P68" i="27"/>
  <c r="X68" i="27" s="1"/>
  <c r="Z68" i="27" s="1"/>
  <c r="H68" i="27"/>
  <c r="L68" i="27" s="1"/>
  <c r="N68" i="27" s="1"/>
  <c r="D68" i="27"/>
  <c r="B68" i="27"/>
  <c r="Z67" i="27"/>
  <c r="X67" i="27"/>
  <c r="N67" i="27"/>
  <c r="L67" i="27"/>
  <c r="B67" i="27"/>
  <c r="T66" i="27"/>
  <c r="P66" i="27"/>
  <c r="X66" i="27" s="1"/>
  <c r="Z66" i="27" s="1"/>
  <c r="L66" i="27"/>
  <c r="N66" i="27" s="1"/>
  <c r="H66" i="27"/>
  <c r="D66" i="27"/>
  <c r="B66" i="27"/>
  <c r="X65" i="27"/>
  <c r="Z65" i="27" s="1"/>
  <c r="V65" i="27"/>
  <c r="L65" i="27"/>
  <c r="N65" i="27" s="1"/>
  <c r="B65" i="27"/>
  <c r="X64" i="27"/>
  <c r="Z64" i="27" s="1"/>
  <c r="T64" i="27"/>
  <c r="P64" i="27"/>
  <c r="H64" i="27"/>
  <c r="N64" i="27" s="1"/>
  <c r="D64" i="27"/>
  <c r="L64" i="27" s="1"/>
  <c r="B64" i="27"/>
  <c r="Z63" i="27"/>
  <c r="X63" i="27"/>
  <c r="N63" i="27"/>
  <c r="L63" i="27"/>
  <c r="B63" i="27"/>
  <c r="T62" i="27"/>
  <c r="Z62" i="27" s="1"/>
  <c r="P62" i="27"/>
  <c r="X62" i="27" s="1"/>
  <c r="H62" i="27"/>
  <c r="D62" i="27"/>
  <c r="L62" i="27" s="1"/>
  <c r="N62" i="27" s="1"/>
  <c r="B62" i="27"/>
  <c r="X61" i="27"/>
  <c r="Z61" i="27" s="1"/>
  <c r="L61" i="27"/>
  <c r="N61" i="27" s="1"/>
  <c r="B61" i="27"/>
  <c r="T60" i="27"/>
  <c r="P60" i="27"/>
  <c r="X60" i="27" s="1"/>
  <c r="Z60" i="27" s="1"/>
  <c r="H60" i="27"/>
  <c r="L60" i="27" s="1"/>
  <c r="N60" i="27" s="1"/>
  <c r="D60" i="27"/>
  <c r="B60" i="27"/>
  <c r="Z59" i="27"/>
  <c r="X59" i="27"/>
  <c r="N59" i="27"/>
  <c r="L59" i="27"/>
  <c r="B59" i="27"/>
  <c r="T58" i="27"/>
  <c r="X58" i="27" s="1"/>
  <c r="Z58" i="27" s="1"/>
  <c r="P58" i="27"/>
  <c r="L58" i="27"/>
  <c r="N58" i="27" s="1"/>
  <c r="H58" i="27"/>
  <c r="D58" i="27"/>
  <c r="B58" i="27"/>
  <c r="X57" i="27"/>
  <c r="Z57" i="27" s="1"/>
  <c r="V57" i="27"/>
  <c r="L57" i="27"/>
  <c r="N57" i="27" s="1"/>
  <c r="B57" i="27"/>
  <c r="X56" i="27"/>
  <c r="Z56" i="27" s="1"/>
  <c r="T56" i="27"/>
  <c r="P56" i="27"/>
  <c r="H56" i="27"/>
  <c r="D56" i="27"/>
  <c r="L56" i="27" s="1"/>
  <c r="B56" i="27"/>
  <c r="Z55" i="27"/>
  <c r="X55" i="27"/>
  <c r="N55" i="27"/>
  <c r="L55" i="27"/>
  <c r="B55" i="27"/>
  <c r="Z54" i="27"/>
  <c r="X54" i="27"/>
  <c r="N54" i="27"/>
  <c r="L54" i="27"/>
  <c r="B54" i="27"/>
  <c r="X53" i="27"/>
  <c r="Z53" i="27" s="1"/>
  <c r="V53" i="27"/>
  <c r="L53" i="27"/>
  <c r="N53" i="27" s="1"/>
  <c r="B53" i="27"/>
  <c r="X52" i="27"/>
  <c r="Z52" i="27" s="1"/>
  <c r="L52" i="27"/>
  <c r="N52" i="27" s="1"/>
  <c r="B52" i="27"/>
  <c r="Z51" i="27"/>
  <c r="X51" i="27"/>
  <c r="N51" i="27"/>
  <c r="L51" i="27"/>
  <c r="B51" i="27"/>
  <c r="Z50" i="27"/>
  <c r="X50" i="27"/>
  <c r="N50" i="27"/>
  <c r="L50" i="27"/>
  <c r="B50" i="27"/>
  <c r="X49" i="27"/>
  <c r="Z49" i="27" s="1"/>
  <c r="L49" i="27"/>
  <c r="N49" i="27" s="1"/>
  <c r="B49" i="27"/>
  <c r="Z48" i="27"/>
  <c r="X48" i="27"/>
  <c r="N48" i="27"/>
  <c r="L48" i="27"/>
  <c r="B48" i="27"/>
  <c r="Z47" i="27"/>
  <c r="X47" i="27"/>
  <c r="N47" i="27"/>
  <c r="L47" i="27"/>
  <c r="B47" i="27"/>
  <c r="Z46" i="27"/>
  <c r="X46" i="27"/>
  <c r="N46" i="27"/>
  <c r="L46" i="27"/>
  <c r="B46" i="27"/>
  <c r="V45" i="27"/>
  <c r="T45" i="27"/>
  <c r="P45" i="27"/>
  <c r="H45" i="27"/>
  <c r="D45" i="27"/>
  <c r="L45" i="27" s="1"/>
  <c r="N45" i="27" s="1"/>
  <c r="B45" i="27"/>
  <c r="X44" i="27"/>
  <c r="Z44" i="27" s="1"/>
  <c r="L44" i="27"/>
  <c r="N44" i="27" s="1"/>
  <c r="B44" i="27"/>
  <c r="Z43" i="27"/>
  <c r="X43" i="27"/>
  <c r="N43" i="27"/>
  <c r="L43" i="27"/>
  <c r="B43" i="27"/>
  <c r="Z42" i="27"/>
  <c r="X42" i="27"/>
  <c r="N42" i="27"/>
  <c r="L42" i="27"/>
  <c r="B42" i="27"/>
  <c r="Z41" i="27"/>
  <c r="X41" i="27"/>
  <c r="V41" i="27"/>
  <c r="N41" i="27"/>
  <c r="L41" i="27"/>
  <c r="B41" i="27"/>
  <c r="Z40" i="27"/>
  <c r="X40" i="27"/>
  <c r="V40" i="27"/>
  <c r="N40" i="27"/>
  <c r="L40" i="27"/>
  <c r="B40" i="27"/>
  <c r="Z39" i="27"/>
  <c r="X39" i="27"/>
  <c r="N39" i="27"/>
  <c r="L39" i="27"/>
  <c r="B39" i="27"/>
  <c r="Z38" i="27"/>
  <c r="X38" i="27"/>
  <c r="N38" i="27"/>
  <c r="L38" i="27"/>
  <c r="B38" i="27"/>
  <c r="X37" i="27"/>
  <c r="Z37" i="27" s="1"/>
  <c r="L37" i="27"/>
  <c r="N37" i="27" s="1"/>
  <c r="B37" i="27"/>
  <c r="X36" i="27"/>
  <c r="Z36" i="27" s="1"/>
  <c r="L36" i="27"/>
  <c r="N36" i="27" s="1"/>
  <c r="B36" i="27"/>
  <c r="Z35" i="27"/>
  <c r="X35" i="27"/>
  <c r="N35" i="27"/>
  <c r="L35" i="27"/>
  <c r="B35" i="27"/>
  <c r="T34" i="27"/>
  <c r="Z34" i="27" s="1"/>
  <c r="P34" i="27"/>
  <c r="X34" i="27" s="1"/>
  <c r="H34" i="27"/>
  <c r="D34" i="27"/>
  <c r="L34" i="27" s="1"/>
  <c r="N34" i="27" s="1"/>
  <c r="B34" i="27"/>
  <c r="T33" i="27"/>
  <c r="Z33" i="27" s="1"/>
  <c r="P33" i="27"/>
  <c r="X33" i="27" s="1"/>
  <c r="N33" i="27"/>
  <c r="L33" i="27"/>
  <c r="H33" i="27"/>
  <c r="D33" i="27"/>
  <c r="V31" i="27"/>
  <c r="T31" i="27"/>
  <c r="T89" i="27" s="1"/>
  <c r="Z29" i="27"/>
  <c r="X29" i="27"/>
  <c r="N29" i="27"/>
  <c r="L29" i="27"/>
  <c r="J29" i="27"/>
  <c r="B29" i="27"/>
  <c r="Z28" i="27"/>
  <c r="X28" i="27"/>
  <c r="N28" i="27"/>
  <c r="L28" i="27"/>
  <c r="B28" i="27"/>
  <c r="Z27" i="27"/>
  <c r="X27" i="27"/>
  <c r="N27" i="27"/>
  <c r="L27" i="27"/>
  <c r="B27" i="27"/>
  <c r="Z26" i="27"/>
  <c r="X26" i="27"/>
  <c r="V26" i="27"/>
  <c r="N26" i="27"/>
  <c r="L26" i="27"/>
  <c r="B26" i="27"/>
  <c r="Z25" i="27"/>
  <c r="X25" i="27"/>
  <c r="V25" i="27"/>
  <c r="N25" i="27"/>
  <c r="L25" i="27"/>
  <c r="B25" i="27"/>
  <c r="Z24" i="27"/>
  <c r="X24" i="27"/>
  <c r="V24" i="27"/>
  <c r="N24" i="27"/>
  <c r="L24" i="27"/>
  <c r="B24" i="27"/>
  <c r="Z23" i="27"/>
  <c r="X23" i="27"/>
  <c r="N23" i="27"/>
  <c r="L23" i="27"/>
  <c r="B23" i="27"/>
  <c r="Z22" i="27"/>
  <c r="X22" i="27"/>
  <c r="N22" i="27"/>
  <c r="L22" i="27"/>
  <c r="B22" i="27"/>
  <c r="Z21" i="27"/>
  <c r="X21" i="27"/>
  <c r="V21" i="27"/>
  <c r="N21" i="27"/>
  <c r="L21" i="27"/>
  <c r="J21" i="27"/>
  <c r="B21" i="27"/>
  <c r="X20" i="27"/>
  <c r="Z20" i="27" s="1"/>
  <c r="L20" i="27"/>
  <c r="N20" i="27" s="1"/>
  <c r="B20" i="27"/>
  <c r="T19" i="27"/>
  <c r="Z19" i="27" s="1"/>
  <c r="P19" i="27"/>
  <c r="X19" i="27" s="1"/>
  <c r="H19" i="27"/>
  <c r="N19" i="27" s="1"/>
  <c r="D19" i="27"/>
  <c r="L19" i="27" s="1"/>
  <c r="Z17" i="27"/>
  <c r="X17" i="27"/>
  <c r="P17" i="27"/>
  <c r="N17" i="27"/>
  <c r="L17" i="27"/>
  <c r="D17" i="27"/>
  <c r="B17" i="27"/>
  <c r="Z16" i="27"/>
  <c r="X16" i="27"/>
  <c r="P16" i="27"/>
  <c r="N16" i="27"/>
  <c r="D16" i="27"/>
  <c r="L16" i="27" s="1"/>
  <c r="B16" i="27"/>
  <c r="Z15" i="27"/>
  <c r="P15" i="27"/>
  <c r="X15" i="27" s="1"/>
  <c r="N15" i="27"/>
  <c r="D15" i="27"/>
  <c r="L15" i="27" s="1"/>
  <c r="B15" i="27"/>
  <c r="Z14" i="27"/>
  <c r="P14" i="27"/>
  <c r="X14" i="27" s="1"/>
  <c r="N14" i="27"/>
  <c r="L14" i="27"/>
  <c r="D14" i="27"/>
  <c r="B14" i="27"/>
  <c r="Z13" i="27"/>
  <c r="X13" i="27"/>
  <c r="P13" i="27"/>
  <c r="L13" i="27"/>
  <c r="N13" i="27" s="1"/>
  <c r="D13" i="27"/>
  <c r="D12" i="27" s="1"/>
  <c r="B13" i="27"/>
  <c r="T12" i="27"/>
  <c r="V71" i="27" s="1"/>
  <c r="H12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29" i="26" s="1"/>
  <c r="P12" i="26"/>
  <c r="R24" i="26" s="1"/>
  <c r="H12" i="26"/>
  <c r="D12" i="26"/>
  <c r="F21" i="26" s="1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P22" i="25"/>
  <c r="H22" i="25"/>
  <c r="D22" i="25"/>
  <c r="B22" i="25"/>
  <c r="T21" i="25"/>
  <c r="Z21" i="25" s="1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D15" i="25"/>
  <c r="T13" i="25"/>
  <c r="Z13" i="25" s="1"/>
  <c r="P13" i="25"/>
  <c r="H13" i="25"/>
  <c r="N13" i="25" s="1"/>
  <c r="D13" i="25"/>
  <c r="B13" i="25"/>
  <c r="T12" i="25"/>
  <c r="V22" i="25" s="1"/>
  <c r="P12" i="25"/>
  <c r="R21" i="25" s="1"/>
  <c r="H12" i="25"/>
  <c r="J24" i="25" s="1"/>
  <c r="D12" i="25"/>
  <c r="D5" i="25"/>
  <c r="D4" i="25"/>
  <c r="X86" i="24"/>
  <c r="Z86" i="24" s="1"/>
  <c r="L86" i="24"/>
  <c r="N86" i="24" s="1"/>
  <c r="T82" i="24"/>
  <c r="Z82" i="24" s="1"/>
  <c r="P82" i="24"/>
  <c r="X82" i="24" s="1"/>
  <c r="H82" i="24"/>
  <c r="N82" i="24" s="1"/>
  <c r="D82" i="24"/>
  <c r="L82" i="24" s="1"/>
  <c r="X80" i="24"/>
  <c r="Z80" i="24" s="1"/>
  <c r="L80" i="24"/>
  <c r="N80" i="24" s="1"/>
  <c r="B80" i="24"/>
  <c r="T79" i="24"/>
  <c r="P79" i="24"/>
  <c r="X79" i="24" s="1"/>
  <c r="Z79" i="24" s="1"/>
  <c r="H79" i="24"/>
  <c r="L79" i="24" s="1"/>
  <c r="D79" i="24"/>
  <c r="B79" i="24"/>
  <c r="X78" i="24"/>
  <c r="Z78" i="24" s="1"/>
  <c r="L78" i="24"/>
  <c r="N78" i="24" s="1"/>
  <c r="B78" i="24"/>
  <c r="Z77" i="24"/>
  <c r="X77" i="24"/>
  <c r="N77" i="24"/>
  <c r="L77" i="24"/>
  <c r="B77" i="24"/>
  <c r="X76" i="24"/>
  <c r="Z76" i="24" s="1"/>
  <c r="L76" i="24"/>
  <c r="N76" i="24" s="1"/>
  <c r="B76" i="24"/>
  <c r="Z75" i="24"/>
  <c r="X75" i="24"/>
  <c r="N75" i="24"/>
  <c r="L75" i="24"/>
  <c r="B75" i="24"/>
  <c r="X74" i="24"/>
  <c r="Z74" i="24" s="1"/>
  <c r="T74" i="24"/>
  <c r="P74" i="24"/>
  <c r="H74" i="24"/>
  <c r="D74" i="24"/>
  <c r="B74" i="24"/>
  <c r="Z73" i="24"/>
  <c r="X73" i="24"/>
  <c r="N73" i="24"/>
  <c r="L73" i="24"/>
  <c r="B73" i="24"/>
  <c r="Z72" i="24"/>
  <c r="X72" i="24"/>
  <c r="N72" i="24"/>
  <c r="L72" i="24"/>
  <c r="B72" i="24"/>
  <c r="Z71" i="24"/>
  <c r="T71" i="24"/>
  <c r="P71" i="24"/>
  <c r="X71" i="24" s="1"/>
  <c r="H71" i="24"/>
  <c r="L71" i="24" s="1"/>
  <c r="D71" i="24"/>
  <c r="B71" i="24"/>
  <c r="Z70" i="24"/>
  <c r="X70" i="24"/>
  <c r="N70" i="24"/>
  <c r="L70" i="24"/>
  <c r="B70" i="24"/>
  <c r="Z69" i="24"/>
  <c r="X69" i="24"/>
  <c r="N69" i="24"/>
  <c r="L69" i="24"/>
  <c r="B69" i="24"/>
  <c r="T68" i="24"/>
  <c r="Z68" i="24" s="1"/>
  <c r="P68" i="24"/>
  <c r="X68" i="24" s="1"/>
  <c r="H68" i="24"/>
  <c r="L68" i="24" s="1"/>
  <c r="D68" i="24"/>
  <c r="B68" i="24"/>
  <c r="X67" i="24"/>
  <c r="Z67" i="24" s="1"/>
  <c r="L67" i="24"/>
  <c r="N67" i="24" s="1"/>
  <c r="B67" i="24"/>
  <c r="T66" i="24"/>
  <c r="P66" i="24"/>
  <c r="X66" i="24" s="1"/>
  <c r="Z66" i="24" s="1"/>
  <c r="H66" i="24"/>
  <c r="D66" i="24"/>
  <c r="L66" i="24" s="1"/>
  <c r="B66" i="24"/>
  <c r="Z65" i="24"/>
  <c r="X65" i="24"/>
  <c r="N65" i="24"/>
  <c r="L65" i="24"/>
  <c r="B65" i="24"/>
  <c r="T64" i="24"/>
  <c r="Z64" i="24" s="1"/>
  <c r="P64" i="24"/>
  <c r="L64" i="24"/>
  <c r="H64" i="24"/>
  <c r="N64" i="24" s="1"/>
  <c r="D64" i="24"/>
  <c r="B64" i="24"/>
  <c r="Z63" i="24"/>
  <c r="X63" i="24"/>
  <c r="N63" i="24"/>
  <c r="L63" i="24"/>
  <c r="B63" i="24"/>
  <c r="T62" i="24"/>
  <c r="Z62" i="24" s="1"/>
  <c r="P62" i="24"/>
  <c r="X62" i="24" s="1"/>
  <c r="H62" i="24"/>
  <c r="N62" i="24" s="1"/>
  <c r="D62" i="24"/>
  <c r="L62" i="24" s="1"/>
  <c r="B62" i="24"/>
  <c r="Z61" i="24"/>
  <c r="X61" i="24"/>
  <c r="N61" i="24"/>
  <c r="L61" i="24"/>
  <c r="B61" i="24"/>
  <c r="Z60" i="24"/>
  <c r="X60" i="24"/>
  <c r="N60" i="24"/>
  <c r="L60" i="24"/>
  <c r="B60" i="24"/>
  <c r="Z59" i="24"/>
  <c r="T59" i="24"/>
  <c r="P59" i="24"/>
  <c r="X59" i="24" s="1"/>
  <c r="H59" i="24"/>
  <c r="L59" i="24" s="1"/>
  <c r="D59" i="24"/>
  <c r="B59" i="24"/>
  <c r="X58" i="24"/>
  <c r="Z58" i="24" s="1"/>
  <c r="L58" i="24"/>
  <c r="N58" i="24" s="1"/>
  <c r="B58" i="24"/>
  <c r="T57" i="24"/>
  <c r="X57" i="24" s="1"/>
  <c r="P57" i="24"/>
  <c r="H57" i="24"/>
  <c r="D57" i="24"/>
  <c r="L57" i="24" s="1"/>
  <c r="N57" i="24" s="1"/>
  <c r="B57" i="24"/>
  <c r="X56" i="24"/>
  <c r="Z56" i="24" s="1"/>
  <c r="L56" i="24"/>
  <c r="N56" i="24" s="1"/>
  <c r="B56" i="24"/>
  <c r="T55" i="24"/>
  <c r="P55" i="24"/>
  <c r="X55" i="24" s="1"/>
  <c r="Z55" i="24" s="1"/>
  <c r="H55" i="24"/>
  <c r="N55" i="24" s="1"/>
  <c r="D55" i="24"/>
  <c r="L55" i="24" s="1"/>
  <c r="B55" i="24"/>
  <c r="X54" i="24"/>
  <c r="Z54" i="24" s="1"/>
  <c r="N54" i="24"/>
  <c r="L54" i="24"/>
  <c r="B54" i="24"/>
  <c r="T53" i="24"/>
  <c r="Z53" i="24" s="1"/>
  <c r="P53" i="24"/>
  <c r="X53" i="24" s="1"/>
  <c r="H53" i="24"/>
  <c r="D53" i="24"/>
  <c r="L53" i="24" s="1"/>
  <c r="N53" i="24" s="1"/>
  <c r="B53" i="24"/>
  <c r="Z52" i="24"/>
  <c r="X52" i="24"/>
  <c r="N52" i="24"/>
  <c r="L52" i="24"/>
  <c r="B52" i="24"/>
  <c r="Z51" i="24"/>
  <c r="X51" i="24"/>
  <c r="V51" i="24"/>
  <c r="N51" i="24"/>
  <c r="L51" i="24"/>
  <c r="B51" i="24"/>
  <c r="Z50" i="24"/>
  <c r="X50" i="24"/>
  <c r="N50" i="24"/>
  <c r="L50" i="24"/>
  <c r="B50" i="24"/>
  <c r="Z49" i="24"/>
  <c r="X49" i="24"/>
  <c r="N49" i="24"/>
  <c r="L49" i="24"/>
  <c r="B49" i="24"/>
  <c r="Z48" i="24"/>
  <c r="X48" i="24"/>
  <c r="N48" i="24"/>
  <c r="L48" i="24"/>
  <c r="B48" i="24"/>
  <c r="Z47" i="24"/>
  <c r="X47" i="24"/>
  <c r="V47" i="24"/>
  <c r="N47" i="24"/>
  <c r="L47" i="24"/>
  <c r="B47" i="24"/>
  <c r="Z46" i="24"/>
  <c r="X46" i="24"/>
  <c r="N46" i="24"/>
  <c r="L46" i="24"/>
  <c r="B46" i="24"/>
  <c r="Z45" i="24"/>
  <c r="X45" i="24"/>
  <c r="N45" i="24"/>
  <c r="L45" i="24"/>
  <c r="B45" i="24"/>
  <c r="Z44" i="24"/>
  <c r="X44" i="24"/>
  <c r="N44" i="24"/>
  <c r="L44" i="24"/>
  <c r="B44" i="24"/>
  <c r="Z43" i="24"/>
  <c r="X43" i="24"/>
  <c r="V43" i="24"/>
  <c r="N43" i="24"/>
  <c r="L43" i="24"/>
  <c r="B43" i="24"/>
  <c r="Z42" i="24"/>
  <c r="X42" i="24"/>
  <c r="T42" i="24"/>
  <c r="P42" i="24"/>
  <c r="H42" i="24"/>
  <c r="D42" i="24"/>
  <c r="L42" i="24" s="1"/>
  <c r="B42" i="24"/>
  <c r="Z41" i="24"/>
  <c r="X41" i="24"/>
  <c r="N41" i="24"/>
  <c r="L41" i="24"/>
  <c r="B41" i="24"/>
  <c r="Z40" i="24"/>
  <c r="X40" i="24"/>
  <c r="N40" i="24"/>
  <c r="L40" i="24"/>
  <c r="B40" i="24"/>
  <c r="Z39" i="24"/>
  <c r="X39" i="24"/>
  <c r="V39" i="24"/>
  <c r="N39" i="24"/>
  <c r="L39" i="24"/>
  <c r="B39" i="24"/>
  <c r="Z38" i="24"/>
  <c r="X38" i="24"/>
  <c r="V38" i="24"/>
  <c r="N38" i="24"/>
  <c r="L38" i="24"/>
  <c r="B38" i="24"/>
  <c r="X37" i="24"/>
  <c r="Z37" i="24" s="1"/>
  <c r="V37" i="24"/>
  <c r="N37" i="24"/>
  <c r="L37" i="24"/>
  <c r="B37" i="24"/>
  <c r="Z36" i="24"/>
  <c r="X36" i="24"/>
  <c r="V36" i="24"/>
  <c r="N36" i="24"/>
  <c r="L36" i="24"/>
  <c r="B36" i="24"/>
  <c r="X35" i="24"/>
  <c r="Z35" i="24" s="1"/>
  <c r="V35" i="24"/>
  <c r="N35" i="24"/>
  <c r="L35" i="24"/>
  <c r="B35" i="24"/>
  <c r="Z34" i="24"/>
  <c r="X34" i="24"/>
  <c r="L34" i="24"/>
  <c r="N34" i="24" s="1"/>
  <c r="B34" i="24"/>
  <c r="V33" i="24"/>
  <c r="T33" i="24"/>
  <c r="P33" i="24"/>
  <c r="X33" i="24" s="1"/>
  <c r="Z33" i="24" s="1"/>
  <c r="L33" i="24"/>
  <c r="N33" i="24" s="1"/>
  <c r="H33" i="24"/>
  <c r="D33" i="24"/>
  <c r="B33" i="24"/>
  <c r="T32" i="24"/>
  <c r="V32" i="24" s="1"/>
  <c r="P32" i="24"/>
  <c r="X32" i="24" s="1"/>
  <c r="H32" i="24"/>
  <c r="D32" i="24"/>
  <c r="L32" i="24" s="1"/>
  <c r="Z28" i="24"/>
  <c r="X28" i="24"/>
  <c r="V28" i="24"/>
  <c r="N28" i="24"/>
  <c r="L28" i="24"/>
  <c r="B28" i="24"/>
  <c r="Z27" i="24"/>
  <c r="X27" i="24"/>
  <c r="V27" i="24"/>
  <c r="N27" i="24"/>
  <c r="L27" i="24"/>
  <c r="B27" i="24"/>
  <c r="Z26" i="24"/>
  <c r="X26" i="24"/>
  <c r="N26" i="24"/>
  <c r="L26" i="24"/>
  <c r="B26" i="24"/>
  <c r="Z25" i="24"/>
  <c r="X25" i="24"/>
  <c r="V25" i="24"/>
  <c r="N25" i="24"/>
  <c r="L25" i="24"/>
  <c r="B25" i="24"/>
  <c r="Z24" i="24"/>
  <c r="X24" i="24"/>
  <c r="N24" i="24"/>
  <c r="L24" i="24"/>
  <c r="B24" i="24"/>
  <c r="Z23" i="24"/>
  <c r="X23" i="24"/>
  <c r="V23" i="24"/>
  <c r="N23" i="24"/>
  <c r="L23" i="24"/>
  <c r="J23" i="24"/>
  <c r="B23" i="24"/>
  <c r="Z22" i="24"/>
  <c r="X22" i="24"/>
  <c r="V22" i="24"/>
  <c r="N22" i="24"/>
  <c r="L22" i="24"/>
  <c r="B22" i="24"/>
  <c r="Z21" i="24"/>
  <c r="X21" i="24"/>
  <c r="V21" i="24"/>
  <c r="N21" i="24"/>
  <c r="L21" i="24"/>
  <c r="J21" i="24"/>
  <c r="B21" i="24"/>
  <c r="Z20" i="24"/>
  <c r="X20" i="24"/>
  <c r="V20" i="24"/>
  <c r="N20" i="24"/>
  <c r="L20" i="24"/>
  <c r="B20" i="24"/>
  <c r="Z19" i="24"/>
  <c r="X19" i="24"/>
  <c r="V19" i="24"/>
  <c r="N19" i="24"/>
  <c r="L19" i="24"/>
  <c r="B19" i="24"/>
  <c r="T18" i="24"/>
  <c r="P18" i="24"/>
  <c r="H18" i="24"/>
  <c r="H30" i="24" s="1"/>
  <c r="D18" i="24"/>
  <c r="L18" i="24" s="1"/>
  <c r="Z16" i="24"/>
  <c r="P16" i="24"/>
  <c r="X16" i="24" s="1"/>
  <c r="N16" i="24"/>
  <c r="D16" i="24"/>
  <c r="D12" i="24" s="1"/>
  <c r="B16" i="24"/>
  <c r="Z15" i="24"/>
  <c r="P15" i="24"/>
  <c r="X15" i="24" s="1"/>
  <c r="N15" i="24"/>
  <c r="L15" i="24"/>
  <c r="D15" i="24"/>
  <c r="B15" i="24"/>
  <c r="X14" i="24"/>
  <c r="Z14" i="24" s="1"/>
  <c r="P14" i="24"/>
  <c r="D14" i="24"/>
  <c r="L14" i="24" s="1"/>
  <c r="N14" i="24" s="1"/>
  <c r="B14" i="24"/>
  <c r="P13" i="24"/>
  <c r="X13" i="24" s="1"/>
  <c r="Z13" i="24" s="1"/>
  <c r="D13" i="24"/>
  <c r="L13" i="24" s="1"/>
  <c r="N13" i="24" s="1"/>
  <c r="B13" i="24"/>
  <c r="T12" i="24"/>
  <c r="V69" i="24" s="1"/>
  <c r="P12" i="24"/>
  <c r="R79" i="24" s="1"/>
  <c r="H12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24" i="23" s="1"/>
  <c r="P12" i="23"/>
  <c r="R36" i="23" s="1"/>
  <c r="H12" i="23"/>
  <c r="D12" i="23"/>
  <c r="F20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22" i="22" s="1"/>
  <c r="P12" i="22"/>
  <c r="R16" i="22" s="1"/>
  <c r="H12" i="22"/>
  <c r="J20" i="22" s="1"/>
  <c r="D12" i="22"/>
  <c r="D5" i="22"/>
  <c r="D4" i="22"/>
  <c r="Z94" i="21"/>
  <c r="X94" i="21"/>
  <c r="N94" i="21"/>
  <c r="L94" i="21"/>
  <c r="Z90" i="21"/>
  <c r="X90" i="21"/>
  <c r="T90" i="21"/>
  <c r="P90" i="21"/>
  <c r="H90" i="21"/>
  <c r="N90" i="21" s="1"/>
  <c r="D90" i="21"/>
  <c r="Z88" i="21"/>
  <c r="X88" i="21"/>
  <c r="N88" i="21"/>
  <c r="L88" i="21"/>
  <c r="B88" i="21"/>
  <c r="T87" i="21"/>
  <c r="Z87" i="21" s="1"/>
  <c r="P87" i="21"/>
  <c r="X87" i="21" s="1"/>
  <c r="L87" i="21"/>
  <c r="H87" i="21"/>
  <c r="N87" i="21" s="1"/>
  <c r="D87" i="21"/>
  <c r="B87" i="21"/>
  <c r="Z86" i="21"/>
  <c r="X86" i="21"/>
  <c r="N86" i="21"/>
  <c r="L86" i="21"/>
  <c r="B86" i="21"/>
  <c r="X85" i="21"/>
  <c r="T85" i="21"/>
  <c r="Z85" i="21" s="1"/>
  <c r="P85" i="21"/>
  <c r="H85" i="21"/>
  <c r="N85" i="21" s="1"/>
  <c r="D85" i="21"/>
  <c r="B85" i="21"/>
  <c r="Z84" i="21"/>
  <c r="X84" i="21"/>
  <c r="N84" i="21"/>
  <c r="L84" i="21"/>
  <c r="B84" i="21"/>
  <c r="X83" i="21"/>
  <c r="Z83" i="21" s="1"/>
  <c r="L83" i="21"/>
  <c r="N83" i="21" s="1"/>
  <c r="B83" i="21"/>
  <c r="T82" i="21"/>
  <c r="P82" i="21"/>
  <c r="X82" i="21" s="1"/>
  <c r="Z82" i="21" s="1"/>
  <c r="N82" i="21"/>
  <c r="L82" i="21"/>
  <c r="H82" i="21"/>
  <c r="D82" i="21"/>
  <c r="B82" i="21"/>
  <c r="X81" i="21"/>
  <c r="Z81" i="21" s="1"/>
  <c r="L81" i="21"/>
  <c r="N81" i="21" s="1"/>
  <c r="B81" i="21"/>
  <c r="Z80" i="21"/>
  <c r="X80" i="21"/>
  <c r="N80" i="21"/>
  <c r="L80" i="21"/>
  <c r="B80" i="21"/>
  <c r="Z79" i="21"/>
  <c r="X79" i="21"/>
  <c r="N79" i="21"/>
  <c r="L79" i="21"/>
  <c r="B79" i="21"/>
  <c r="Z78" i="21"/>
  <c r="X78" i="21"/>
  <c r="N78" i="21"/>
  <c r="L78" i="21"/>
  <c r="B78" i="21"/>
  <c r="X77" i="21"/>
  <c r="Z77" i="21" s="1"/>
  <c r="L77" i="21"/>
  <c r="N77" i="21" s="1"/>
  <c r="B77" i="21"/>
  <c r="T76" i="21"/>
  <c r="P76" i="21"/>
  <c r="X76" i="21" s="1"/>
  <c r="Z76" i="21" s="1"/>
  <c r="H76" i="21"/>
  <c r="D76" i="21"/>
  <c r="L76" i="21" s="1"/>
  <c r="N76" i="21" s="1"/>
  <c r="B76" i="21"/>
  <c r="X75" i="21"/>
  <c r="Z75" i="21" s="1"/>
  <c r="L75" i="21"/>
  <c r="N75" i="21" s="1"/>
  <c r="B75" i="21"/>
  <c r="Z74" i="21"/>
  <c r="X74" i="21"/>
  <c r="N74" i="21"/>
  <c r="L74" i="21"/>
  <c r="B74" i="21"/>
  <c r="X73" i="21"/>
  <c r="Z73" i="21" s="1"/>
  <c r="L73" i="21"/>
  <c r="N73" i="21" s="1"/>
  <c r="B73" i="21"/>
  <c r="T72" i="21"/>
  <c r="P72" i="21"/>
  <c r="X72" i="21" s="1"/>
  <c r="Z72" i="21" s="1"/>
  <c r="H72" i="21"/>
  <c r="D72" i="21"/>
  <c r="L72" i="21" s="1"/>
  <c r="N72" i="21" s="1"/>
  <c r="B72" i="21"/>
  <c r="X71" i="21"/>
  <c r="Z71" i="21" s="1"/>
  <c r="L71" i="21"/>
  <c r="N71" i="21" s="1"/>
  <c r="B71" i="21"/>
  <c r="T70" i="21"/>
  <c r="P70" i="21"/>
  <c r="X70" i="21" s="1"/>
  <c r="Z70" i="21" s="1"/>
  <c r="L70" i="21"/>
  <c r="N70" i="21" s="1"/>
  <c r="H70" i="21"/>
  <c r="D70" i="21"/>
  <c r="B70" i="21"/>
  <c r="X69" i="21"/>
  <c r="Z69" i="21" s="1"/>
  <c r="L69" i="21"/>
  <c r="N69" i="21" s="1"/>
  <c r="B69" i="21"/>
  <c r="X68" i="21"/>
  <c r="Z68" i="21" s="1"/>
  <c r="N68" i="21"/>
  <c r="L68" i="21"/>
  <c r="B68" i="21"/>
  <c r="X67" i="21"/>
  <c r="Z67" i="21" s="1"/>
  <c r="N67" i="21"/>
  <c r="L67" i="21"/>
  <c r="B67" i="21"/>
  <c r="T66" i="21"/>
  <c r="P66" i="21"/>
  <c r="X66" i="21" s="1"/>
  <c r="Z66" i="21" s="1"/>
  <c r="L66" i="21"/>
  <c r="N66" i="21" s="1"/>
  <c r="H66" i="21"/>
  <c r="D66" i="21"/>
  <c r="B66" i="21"/>
  <c r="X65" i="21"/>
  <c r="Z65" i="21" s="1"/>
  <c r="L65" i="21"/>
  <c r="N65" i="21" s="1"/>
  <c r="B65" i="21"/>
  <c r="X64" i="21"/>
  <c r="Z64" i="21" s="1"/>
  <c r="T64" i="21"/>
  <c r="P64" i="21"/>
  <c r="H64" i="21"/>
  <c r="D64" i="21"/>
  <c r="B64" i="21"/>
  <c r="X63" i="21"/>
  <c r="Z63" i="21" s="1"/>
  <c r="L63" i="21"/>
  <c r="N63" i="21" s="1"/>
  <c r="B63" i="21"/>
  <c r="T62" i="21"/>
  <c r="P62" i="21"/>
  <c r="H62" i="21"/>
  <c r="D62" i="21"/>
  <c r="L62" i="21" s="1"/>
  <c r="N62" i="21" s="1"/>
  <c r="B62" i="21"/>
  <c r="X61" i="21"/>
  <c r="Z61" i="21" s="1"/>
  <c r="L61" i="21"/>
  <c r="N61" i="21" s="1"/>
  <c r="B61" i="21"/>
  <c r="T60" i="21"/>
  <c r="P60" i="21"/>
  <c r="X60" i="21" s="1"/>
  <c r="Z60" i="21" s="1"/>
  <c r="H60" i="21"/>
  <c r="D60" i="21"/>
  <c r="L60" i="21" s="1"/>
  <c r="N60" i="21" s="1"/>
  <c r="B60" i="21"/>
  <c r="X59" i="21"/>
  <c r="Z59" i="21" s="1"/>
  <c r="L59" i="21"/>
  <c r="N59" i="21" s="1"/>
  <c r="B59" i="21"/>
  <c r="T58" i="21"/>
  <c r="P58" i="21"/>
  <c r="X58" i="21" s="1"/>
  <c r="Z58" i="21" s="1"/>
  <c r="L58" i="21"/>
  <c r="N58" i="21" s="1"/>
  <c r="H58" i="21"/>
  <c r="D58" i="21"/>
  <c r="B58" i="21"/>
  <c r="X57" i="21"/>
  <c r="Z57" i="21" s="1"/>
  <c r="L57" i="21"/>
  <c r="N57" i="21" s="1"/>
  <c r="B57" i="21"/>
  <c r="X56" i="21"/>
  <c r="Z56" i="21" s="1"/>
  <c r="T56" i="21"/>
  <c r="P56" i="21"/>
  <c r="H56" i="21"/>
  <c r="D56" i="21"/>
  <c r="B56" i="21"/>
  <c r="X55" i="21"/>
  <c r="Z55" i="21" s="1"/>
  <c r="N55" i="21"/>
  <c r="L55" i="21"/>
  <c r="B55" i="21"/>
  <c r="Z54" i="21"/>
  <c r="X54" i="21"/>
  <c r="N54" i="21"/>
  <c r="L54" i="21"/>
  <c r="B54" i="21"/>
  <c r="T53" i="21"/>
  <c r="X53" i="21" s="1"/>
  <c r="P53" i="21"/>
  <c r="H53" i="21"/>
  <c r="N53" i="21" s="1"/>
  <c r="D53" i="21"/>
  <c r="L53" i="21" s="1"/>
  <c r="B53" i="21"/>
  <c r="Z52" i="21"/>
  <c r="X52" i="21"/>
  <c r="L52" i="21"/>
  <c r="N52" i="21" s="1"/>
  <c r="B52" i="21"/>
  <c r="T51" i="21"/>
  <c r="Z51" i="21" s="1"/>
  <c r="P51" i="21"/>
  <c r="X51" i="21" s="1"/>
  <c r="H51" i="21"/>
  <c r="N51" i="21" s="1"/>
  <c r="D51" i="21"/>
  <c r="L51" i="21" s="1"/>
  <c r="B51" i="21"/>
  <c r="Z50" i="21"/>
  <c r="X50" i="21"/>
  <c r="N50" i="21"/>
  <c r="L50" i="21"/>
  <c r="B50" i="21"/>
  <c r="T49" i="21"/>
  <c r="Z49" i="21" s="1"/>
  <c r="P49" i="21"/>
  <c r="X49" i="21" s="1"/>
  <c r="N49" i="21"/>
  <c r="L49" i="21"/>
  <c r="H49" i="21"/>
  <c r="D49" i="21"/>
  <c r="B49" i="21"/>
  <c r="Z48" i="21"/>
  <c r="X48" i="21"/>
  <c r="N48" i="21"/>
  <c r="L48" i="21"/>
  <c r="B48" i="21"/>
  <c r="Z47" i="21"/>
  <c r="X47" i="21"/>
  <c r="T47" i="21"/>
  <c r="P47" i="21"/>
  <c r="H47" i="21"/>
  <c r="L47" i="21" s="1"/>
  <c r="D47" i="21"/>
  <c r="B47" i="21"/>
  <c r="Z46" i="21"/>
  <c r="X46" i="21"/>
  <c r="N46" i="21"/>
  <c r="L46" i="21"/>
  <c r="B46" i="21"/>
  <c r="Z45" i="21"/>
  <c r="X45" i="21"/>
  <c r="N45" i="21"/>
  <c r="L45" i="21"/>
  <c r="B45" i="21"/>
  <c r="X44" i="21"/>
  <c r="Z44" i="21" s="1"/>
  <c r="N44" i="21"/>
  <c r="L44" i="21"/>
  <c r="B44" i="21"/>
  <c r="Z43" i="21"/>
  <c r="X43" i="21"/>
  <c r="N43" i="21"/>
  <c r="L43" i="21"/>
  <c r="B43" i="21"/>
  <c r="Z42" i="21"/>
  <c r="X42" i="21"/>
  <c r="N42" i="21"/>
  <c r="L42" i="21"/>
  <c r="B42" i="21"/>
  <c r="Z41" i="21"/>
  <c r="X41" i="21"/>
  <c r="N41" i="21"/>
  <c r="L41" i="21"/>
  <c r="B41" i="21"/>
  <c r="Z40" i="21"/>
  <c r="X40" i="21"/>
  <c r="L40" i="21"/>
  <c r="N40" i="21" s="1"/>
  <c r="B40" i="21"/>
  <c r="Z39" i="21"/>
  <c r="X39" i="21"/>
  <c r="N39" i="21"/>
  <c r="L39" i="21"/>
  <c r="B39" i="21"/>
  <c r="X38" i="21"/>
  <c r="Z38" i="21" s="1"/>
  <c r="N38" i="21"/>
  <c r="L38" i="21"/>
  <c r="B38" i="21"/>
  <c r="Z37" i="21"/>
  <c r="X37" i="21"/>
  <c r="N37" i="21"/>
  <c r="L37" i="21"/>
  <c r="B37" i="21"/>
  <c r="X36" i="21"/>
  <c r="Z36" i="21" s="1"/>
  <c r="T36" i="21"/>
  <c r="P36" i="21"/>
  <c r="H36" i="21"/>
  <c r="D36" i="21"/>
  <c r="B36" i="21"/>
  <c r="Z35" i="21"/>
  <c r="X35" i="21"/>
  <c r="N35" i="21"/>
  <c r="L35" i="21"/>
  <c r="B35" i="21"/>
  <c r="X34" i="21"/>
  <c r="Z34" i="21" s="1"/>
  <c r="N34" i="21"/>
  <c r="L34" i="21"/>
  <c r="B34" i="21"/>
  <c r="X33" i="21"/>
  <c r="Z33" i="21" s="1"/>
  <c r="L33" i="21"/>
  <c r="N33" i="21" s="1"/>
  <c r="B33" i="21"/>
  <c r="Z32" i="21"/>
  <c r="X32" i="21"/>
  <c r="N32" i="21"/>
  <c r="L32" i="21"/>
  <c r="B32" i="21"/>
  <c r="X31" i="21"/>
  <c r="Z31" i="21" s="1"/>
  <c r="L31" i="21"/>
  <c r="N31" i="21" s="1"/>
  <c r="B31" i="21"/>
  <c r="Z30" i="21"/>
  <c r="X30" i="21"/>
  <c r="L30" i="21"/>
  <c r="N30" i="21" s="1"/>
  <c r="B30" i="21"/>
  <c r="X29" i="21"/>
  <c r="Z29" i="21" s="1"/>
  <c r="L29" i="21"/>
  <c r="N29" i="21" s="1"/>
  <c r="B29" i="21"/>
  <c r="Z28" i="21"/>
  <c r="X28" i="21"/>
  <c r="L28" i="21"/>
  <c r="N28" i="21" s="1"/>
  <c r="B28" i="21"/>
  <c r="X27" i="21"/>
  <c r="Z27" i="21" s="1"/>
  <c r="L27" i="21"/>
  <c r="N27" i="21" s="1"/>
  <c r="B27" i="21"/>
  <c r="T26" i="21"/>
  <c r="P26" i="21"/>
  <c r="H26" i="21"/>
  <c r="D26" i="21"/>
  <c r="L26" i="21" s="1"/>
  <c r="N26" i="21" s="1"/>
  <c r="B26" i="21"/>
  <c r="T25" i="21"/>
  <c r="Z25" i="21" s="1"/>
  <c r="P25" i="21"/>
  <c r="X25" i="21" s="1"/>
  <c r="H25" i="21"/>
  <c r="D25" i="21"/>
  <c r="Z21" i="21"/>
  <c r="X21" i="21"/>
  <c r="N21" i="21"/>
  <c r="L21" i="21"/>
  <c r="B21" i="21"/>
  <c r="Z20" i="21"/>
  <c r="X20" i="21"/>
  <c r="N20" i="21"/>
  <c r="L20" i="21"/>
  <c r="B20" i="21"/>
  <c r="X19" i="21"/>
  <c r="Z19" i="21" s="1"/>
  <c r="R19" i="21"/>
  <c r="N19" i="21"/>
  <c r="L19" i="21"/>
  <c r="B19" i="21"/>
  <c r="T18" i="21"/>
  <c r="P18" i="21"/>
  <c r="H18" i="21"/>
  <c r="D18" i="21"/>
  <c r="L18" i="21" s="1"/>
  <c r="N18" i="21" s="1"/>
  <c r="Z16" i="21"/>
  <c r="P16" i="21"/>
  <c r="X16" i="21" s="1"/>
  <c r="N16" i="21"/>
  <c r="L16" i="21"/>
  <c r="D16" i="21"/>
  <c r="B16" i="21"/>
  <c r="Z15" i="21"/>
  <c r="X15" i="21"/>
  <c r="P15" i="21"/>
  <c r="D15" i="21"/>
  <c r="L15" i="21" s="1"/>
  <c r="N15" i="21" s="1"/>
  <c r="B15" i="21"/>
  <c r="Z14" i="21"/>
  <c r="X14" i="21"/>
  <c r="P14" i="21"/>
  <c r="N14" i="21"/>
  <c r="L14" i="21"/>
  <c r="D14" i="21"/>
  <c r="B14" i="21"/>
  <c r="X13" i="21"/>
  <c r="Z13" i="21" s="1"/>
  <c r="P13" i="21"/>
  <c r="D13" i="21"/>
  <c r="L13" i="21" s="1"/>
  <c r="N13" i="21" s="1"/>
  <c r="B13" i="21"/>
  <c r="T12" i="21"/>
  <c r="V62" i="21" s="1"/>
  <c r="P12" i="21"/>
  <c r="H12" i="2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4" i="20" s="1"/>
  <c r="P12" i="20"/>
  <c r="R34" i="20" s="1"/>
  <c r="H12" i="20"/>
  <c r="J18" i="20" s="1"/>
  <c r="D12" i="20"/>
  <c r="F36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P12" i="19"/>
  <c r="R20" i="19" s="1"/>
  <c r="H12" i="19"/>
  <c r="J22" i="19" s="1"/>
  <c r="D12" i="19"/>
  <c r="F24" i="19" s="1"/>
  <c r="D5" i="19"/>
  <c r="D4" i="19"/>
  <c r="X161" i="18"/>
  <c r="Z161" i="18" s="1"/>
  <c r="L161" i="18"/>
  <c r="N161" i="18" s="1"/>
  <c r="Z157" i="18"/>
  <c r="P157" i="18"/>
  <c r="X157" i="18" s="1"/>
  <c r="N157" i="18"/>
  <c r="D157" i="18"/>
  <c r="L157" i="18" s="1"/>
  <c r="B157" i="18"/>
  <c r="P156" i="18"/>
  <c r="X156" i="18" s="1"/>
  <c r="Z156" i="18" s="1"/>
  <c r="D156" i="18"/>
  <c r="L156" i="18" s="1"/>
  <c r="N156" i="18" s="1"/>
  <c r="B156" i="18"/>
  <c r="Z155" i="18"/>
  <c r="X155" i="18"/>
  <c r="P155" i="18"/>
  <c r="N155" i="18"/>
  <c r="D155" i="18"/>
  <c r="L155" i="18" s="1"/>
  <c r="B155" i="18"/>
  <c r="P154" i="18"/>
  <c r="X154" i="18" s="1"/>
  <c r="Z154" i="18" s="1"/>
  <c r="N154" i="18"/>
  <c r="L154" i="18"/>
  <c r="D154" i="18"/>
  <c r="B154" i="18"/>
  <c r="X153" i="18"/>
  <c r="Z153" i="18" s="1"/>
  <c r="P153" i="18"/>
  <c r="D153" i="18"/>
  <c r="L153" i="18" s="1"/>
  <c r="N153" i="18" s="1"/>
  <c r="B153" i="18"/>
  <c r="Z152" i="18"/>
  <c r="P152" i="18"/>
  <c r="X152" i="18" s="1"/>
  <c r="N152" i="18"/>
  <c r="L152" i="18"/>
  <c r="D152" i="18"/>
  <c r="B152" i="18"/>
  <c r="Z151" i="18"/>
  <c r="X151" i="18"/>
  <c r="P151" i="18"/>
  <c r="N151" i="18"/>
  <c r="D151" i="18"/>
  <c r="L151" i="18" s="1"/>
  <c r="B151" i="18"/>
  <c r="T150" i="18"/>
  <c r="H150" i="18"/>
  <c r="Z148" i="18"/>
  <c r="X148" i="18"/>
  <c r="N148" i="18"/>
  <c r="L148" i="18"/>
  <c r="B148" i="18"/>
  <c r="X147" i="18"/>
  <c r="T147" i="18"/>
  <c r="Z147" i="18" s="1"/>
  <c r="P147" i="18"/>
  <c r="H147" i="18"/>
  <c r="D147" i="18"/>
  <c r="L147" i="18" s="1"/>
  <c r="B147" i="18"/>
  <c r="Z146" i="18"/>
  <c r="X146" i="18"/>
  <c r="N146" i="18"/>
  <c r="L146" i="18"/>
  <c r="B146" i="18"/>
  <c r="X145" i="18"/>
  <c r="Z145" i="18" s="1"/>
  <c r="L145" i="18"/>
  <c r="N145" i="18" s="1"/>
  <c r="B145" i="18"/>
  <c r="Z144" i="18"/>
  <c r="X144" i="18"/>
  <c r="N144" i="18"/>
  <c r="L144" i="18"/>
  <c r="B144" i="18"/>
  <c r="X143" i="18"/>
  <c r="T143" i="18"/>
  <c r="Z143" i="18" s="1"/>
  <c r="P143" i="18"/>
  <c r="H143" i="18"/>
  <c r="N143" i="18" s="1"/>
  <c r="D143" i="18"/>
  <c r="L143" i="18" s="1"/>
  <c r="B143" i="18"/>
  <c r="Z142" i="18"/>
  <c r="X142" i="18"/>
  <c r="N142" i="18"/>
  <c r="L142" i="18"/>
  <c r="B142" i="18"/>
  <c r="T141" i="18"/>
  <c r="Z141" i="18" s="1"/>
  <c r="P141" i="18"/>
  <c r="X141" i="18" s="1"/>
  <c r="H141" i="18"/>
  <c r="N141" i="18" s="1"/>
  <c r="D141" i="18"/>
  <c r="L141" i="18" s="1"/>
  <c r="B141" i="18"/>
  <c r="Z140" i="18"/>
  <c r="X140" i="18"/>
  <c r="N140" i="18"/>
  <c r="L140" i="18"/>
  <c r="B140" i="18"/>
  <c r="Z139" i="18"/>
  <c r="X139" i="18"/>
  <c r="N139" i="18"/>
  <c r="L139" i="18"/>
  <c r="B139" i="18"/>
  <c r="T138" i="18"/>
  <c r="P138" i="18"/>
  <c r="X138" i="18" s="1"/>
  <c r="Z138" i="18" s="1"/>
  <c r="H138" i="18"/>
  <c r="D138" i="18"/>
  <c r="L138" i="18" s="1"/>
  <c r="N138" i="18" s="1"/>
  <c r="B138" i="18"/>
  <c r="X137" i="18"/>
  <c r="Z137" i="18" s="1"/>
  <c r="L137" i="18"/>
  <c r="N137" i="18" s="1"/>
  <c r="B137" i="18"/>
  <c r="Z136" i="18"/>
  <c r="X136" i="18"/>
  <c r="N136" i="18"/>
  <c r="L136" i="18"/>
  <c r="B136" i="18"/>
  <c r="X135" i="18"/>
  <c r="Z135" i="18" s="1"/>
  <c r="L135" i="18"/>
  <c r="N135" i="18" s="1"/>
  <c r="B135" i="18"/>
  <c r="Z134" i="18"/>
  <c r="X134" i="18"/>
  <c r="N134" i="18"/>
  <c r="L134" i="18"/>
  <c r="B134" i="18"/>
  <c r="X133" i="18"/>
  <c r="Z133" i="18" s="1"/>
  <c r="L133" i="18"/>
  <c r="N133" i="18" s="1"/>
  <c r="B133" i="18"/>
  <c r="Z132" i="18"/>
  <c r="X132" i="18"/>
  <c r="N132" i="18"/>
  <c r="L132" i="18"/>
  <c r="B132" i="18"/>
  <c r="X131" i="18"/>
  <c r="Z131" i="18" s="1"/>
  <c r="L131" i="18"/>
  <c r="N131" i="18" s="1"/>
  <c r="B131" i="18"/>
  <c r="Z130" i="18"/>
  <c r="X130" i="18"/>
  <c r="T130" i="18"/>
  <c r="P130" i="18"/>
  <c r="H130" i="18"/>
  <c r="D130" i="18"/>
  <c r="B130" i="18"/>
  <c r="X129" i="18"/>
  <c r="Z129" i="18" s="1"/>
  <c r="L129" i="18"/>
  <c r="N129" i="18" s="1"/>
  <c r="B129" i="18"/>
  <c r="Z128" i="18"/>
  <c r="X128" i="18"/>
  <c r="N128" i="18"/>
  <c r="L128" i="18"/>
  <c r="B128" i="18"/>
  <c r="X127" i="18"/>
  <c r="T127" i="18"/>
  <c r="Z127" i="18" s="1"/>
  <c r="P127" i="18"/>
  <c r="H127" i="18"/>
  <c r="N127" i="18" s="1"/>
  <c r="D127" i="18"/>
  <c r="L127" i="18" s="1"/>
  <c r="B127" i="18"/>
  <c r="Z126" i="18"/>
  <c r="X126" i="18"/>
  <c r="N126" i="18"/>
  <c r="L126" i="18"/>
  <c r="B126" i="18"/>
  <c r="X125" i="18"/>
  <c r="Z125" i="18" s="1"/>
  <c r="L125" i="18"/>
  <c r="N125" i="18" s="1"/>
  <c r="B125" i="18"/>
  <c r="Z124" i="18"/>
  <c r="X124" i="18"/>
  <c r="N124" i="18"/>
  <c r="L124" i="18"/>
  <c r="B124" i="18"/>
  <c r="X123" i="18"/>
  <c r="T123" i="18"/>
  <c r="Z123" i="18" s="1"/>
  <c r="P123" i="18"/>
  <c r="H123" i="18"/>
  <c r="D123" i="18"/>
  <c r="L123" i="18" s="1"/>
  <c r="B123" i="18"/>
  <c r="Z122" i="18"/>
  <c r="X122" i="18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B120" i="18"/>
  <c r="X119" i="18"/>
  <c r="Z119" i="18" s="1"/>
  <c r="L119" i="18"/>
  <c r="N119" i="18" s="1"/>
  <c r="B119" i="18"/>
  <c r="Z118" i="18"/>
  <c r="X118" i="18"/>
  <c r="T118" i="18"/>
  <c r="P118" i="18"/>
  <c r="H118" i="18"/>
  <c r="L118" i="18" s="1"/>
  <c r="N118" i="18" s="1"/>
  <c r="D118" i="18"/>
  <c r="B118" i="18"/>
  <c r="X117" i="18"/>
  <c r="Z117" i="18" s="1"/>
  <c r="L117" i="18"/>
  <c r="N117" i="18" s="1"/>
  <c r="B117" i="18"/>
  <c r="Z116" i="18"/>
  <c r="X116" i="18"/>
  <c r="N116" i="18"/>
  <c r="L116" i="18"/>
  <c r="B116" i="18"/>
  <c r="X115" i="18"/>
  <c r="Z115" i="18" s="1"/>
  <c r="L115" i="18"/>
  <c r="N115" i="18" s="1"/>
  <c r="B115" i="18"/>
  <c r="Z114" i="18"/>
  <c r="X114" i="18"/>
  <c r="N114" i="18"/>
  <c r="L114" i="18"/>
  <c r="B114" i="18"/>
  <c r="T113" i="18"/>
  <c r="P113" i="18"/>
  <c r="L113" i="18"/>
  <c r="H113" i="18"/>
  <c r="N113" i="18" s="1"/>
  <c r="D113" i="18"/>
  <c r="B113" i="18"/>
  <c r="Z112" i="18"/>
  <c r="X112" i="18"/>
  <c r="N112" i="18"/>
  <c r="L112" i="18"/>
  <c r="B112" i="18"/>
  <c r="X111" i="18"/>
  <c r="T111" i="18"/>
  <c r="Z111" i="18" s="1"/>
  <c r="P111" i="18"/>
  <c r="H111" i="18"/>
  <c r="N111" i="18" s="1"/>
  <c r="D111" i="18"/>
  <c r="L111" i="18" s="1"/>
  <c r="B111" i="18"/>
  <c r="Z110" i="18"/>
  <c r="X110" i="18"/>
  <c r="N110" i="18"/>
  <c r="L110" i="18"/>
  <c r="B110" i="18"/>
  <c r="T109" i="18"/>
  <c r="Z109" i="18" s="1"/>
  <c r="P109" i="18"/>
  <c r="X109" i="18" s="1"/>
  <c r="H109" i="18"/>
  <c r="N109" i="18" s="1"/>
  <c r="D109" i="18"/>
  <c r="L109" i="18" s="1"/>
  <c r="B109" i="18"/>
  <c r="Z108" i="18"/>
  <c r="X108" i="18"/>
  <c r="N108" i="18"/>
  <c r="L108" i="18"/>
  <c r="B108" i="18"/>
  <c r="T107" i="18"/>
  <c r="Z107" i="18" s="1"/>
  <c r="P107" i="18"/>
  <c r="X107" i="18" s="1"/>
  <c r="H107" i="18"/>
  <c r="D107" i="18"/>
  <c r="B107" i="18"/>
  <c r="Z106" i="18"/>
  <c r="X106" i="18"/>
  <c r="N106" i="18"/>
  <c r="L106" i="18"/>
  <c r="B106" i="18"/>
  <c r="T105" i="18"/>
  <c r="P105" i="18"/>
  <c r="L105" i="18"/>
  <c r="H105" i="18"/>
  <c r="N105" i="18" s="1"/>
  <c r="D105" i="18"/>
  <c r="B105" i="18"/>
  <c r="Z104" i="18"/>
  <c r="X104" i="18"/>
  <c r="N104" i="18"/>
  <c r="L104" i="18"/>
  <c r="B104" i="18"/>
  <c r="X103" i="18"/>
  <c r="Z103" i="18" s="1"/>
  <c r="L103" i="18"/>
  <c r="N103" i="18" s="1"/>
  <c r="B103" i="18"/>
  <c r="Z102" i="18"/>
  <c r="X102" i="18"/>
  <c r="T102" i="18"/>
  <c r="P102" i="18"/>
  <c r="H102" i="18"/>
  <c r="L102" i="18" s="1"/>
  <c r="N102" i="18" s="1"/>
  <c r="D102" i="18"/>
  <c r="B102" i="18"/>
  <c r="X101" i="18"/>
  <c r="Z101" i="18" s="1"/>
  <c r="L101" i="18"/>
  <c r="N101" i="18" s="1"/>
  <c r="B101" i="18"/>
  <c r="Z100" i="18"/>
  <c r="X100" i="18"/>
  <c r="N100" i="18"/>
  <c r="L100" i="18"/>
  <c r="B100" i="18"/>
  <c r="X99" i="18"/>
  <c r="T99" i="18"/>
  <c r="Z99" i="18" s="1"/>
  <c r="P99" i="18"/>
  <c r="H99" i="18"/>
  <c r="N99" i="18" s="1"/>
  <c r="D99" i="18"/>
  <c r="L99" i="18" s="1"/>
  <c r="B99" i="18"/>
  <c r="Z98" i="18"/>
  <c r="X98" i="18"/>
  <c r="N98" i="18"/>
  <c r="L98" i="18"/>
  <c r="B98" i="18"/>
  <c r="T97" i="18"/>
  <c r="Z97" i="18" s="1"/>
  <c r="P97" i="18"/>
  <c r="X97" i="18" s="1"/>
  <c r="H97" i="18"/>
  <c r="D97" i="18"/>
  <c r="L97" i="18" s="1"/>
  <c r="B97" i="18"/>
  <c r="Z96" i="18"/>
  <c r="X96" i="18"/>
  <c r="N96" i="18"/>
  <c r="L96" i="18"/>
  <c r="B96" i="18"/>
  <c r="T95" i="18"/>
  <c r="P95" i="18"/>
  <c r="X95" i="18" s="1"/>
  <c r="H95" i="18"/>
  <c r="D95" i="18"/>
  <c r="B95" i="18"/>
  <c r="Z94" i="18"/>
  <c r="X94" i="18"/>
  <c r="N94" i="18"/>
  <c r="L94" i="18"/>
  <c r="B94" i="18"/>
  <c r="T93" i="18"/>
  <c r="P93" i="18"/>
  <c r="L93" i="18"/>
  <c r="H93" i="18"/>
  <c r="N93" i="18" s="1"/>
  <c r="D93" i="18"/>
  <c r="B93" i="18"/>
  <c r="Z92" i="18"/>
  <c r="X92" i="18"/>
  <c r="N92" i="18"/>
  <c r="L92" i="18"/>
  <c r="B92" i="18"/>
  <c r="Z91" i="18"/>
  <c r="X91" i="18"/>
  <c r="N91" i="18"/>
  <c r="L91" i="18"/>
  <c r="B91" i="18"/>
  <c r="Z90" i="18"/>
  <c r="X90" i="18"/>
  <c r="T90" i="18"/>
  <c r="P90" i="18"/>
  <c r="N90" i="18"/>
  <c r="H90" i="18"/>
  <c r="L90" i="18" s="1"/>
  <c r="D90" i="18"/>
  <c r="B90" i="18"/>
  <c r="X89" i="18"/>
  <c r="Z89" i="18" s="1"/>
  <c r="L89" i="18"/>
  <c r="N89" i="18" s="1"/>
  <c r="B89" i="18"/>
  <c r="Z88" i="18"/>
  <c r="X88" i="18"/>
  <c r="N88" i="18"/>
  <c r="L88" i="18"/>
  <c r="B88" i="18"/>
  <c r="X87" i="18"/>
  <c r="T87" i="18"/>
  <c r="Z87" i="18" s="1"/>
  <c r="P87" i="18"/>
  <c r="H87" i="18"/>
  <c r="N87" i="18" s="1"/>
  <c r="D87" i="18"/>
  <c r="L87" i="18" s="1"/>
  <c r="B87" i="18"/>
  <c r="Z86" i="18"/>
  <c r="X86" i="18"/>
  <c r="N86" i="18"/>
  <c r="L86" i="18"/>
  <c r="B86" i="18"/>
  <c r="T85" i="18"/>
  <c r="Z85" i="18" s="1"/>
  <c r="P85" i="18"/>
  <c r="X85" i="18" s="1"/>
  <c r="H85" i="18"/>
  <c r="D85" i="18"/>
  <c r="L85" i="18" s="1"/>
  <c r="B85" i="18"/>
  <c r="Z84" i="18"/>
  <c r="X84" i="18"/>
  <c r="N84" i="18"/>
  <c r="L84" i="18"/>
  <c r="B84" i="18"/>
  <c r="T83" i="18"/>
  <c r="P83" i="18"/>
  <c r="X83" i="18" s="1"/>
  <c r="H83" i="18"/>
  <c r="D83" i="18"/>
  <c r="B83" i="18"/>
  <c r="Z82" i="18"/>
  <c r="X82" i="18"/>
  <c r="N82" i="18"/>
  <c r="L82" i="18"/>
  <c r="B82" i="18"/>
  <c r="T81" i="18"/>
  <c r="P81" i="18"/>
  <c r="L81" i="18"/>
  <c r="H81" i="18"/>
  <c r="N81" i="18" s="1"/>
  <c r="D81" i="18"/>
  <c r="B81" i="18"/>
  <c r="Z80" i="18"/>
  <c r="X80" i="18"/>
  <c r="N80" i="18"/>
  <c r="L80" i="18"/>
  <c r="B80" i="18"/>
  <c r="Z79" i="18"/>
  <c r="X79" i="18"/>
  <c r="N79" i="18"/>
  <c r="L79" i="18"/>
  <c r="B79" i="18"/>
  <c r="Z78" i="18"/>
  <c r="X78" i="18"/>
  <c r="N78" i="18"/>
  <c r="L78" i="18"/>
  <c r="B78" i="18"/>
  <c r="X77" i="18"/>
  <c r="Z77" i="18" s="1"/>
  <c r="L77" i="18"/>
  <c r="N77" i="18" s="1"/>
  <c r="B77" i="18"/>
  <c r="Z76" i="18"/>
  <c r="X76" i="18"/>
  <c r="N76" i="18"/>
  <c r="L76" i="18"/>
  <c r="B76" i="18"/>
  <c r="X75" i="18"/>
  <c r="Z75" i="18" s="1"/>
  <c r="L75" i="18"/>
  <c r="N75" i="18" s="1"/>
  <c r="B75" i="18"/>
  <c r="Z74" i="18"/>
  <c r="X74" i="18"/>
  <c r="N74" i="18"/>
  <c r="L74" i="18"/>
  <c r="B74" i="18"/>
  <c r="Z73" i="18"/>
  <c r="X73" i="18"/>
  <c r="N73" i="18"/>
  <c r="L73" i="18"/>
  <c r="B73" i="18"/>
  <c r="Z72" i="18"/>
  <c r="X72" i="18"/>
  <c r="N72" i="18"/>
  <c r="L72" i="18"/>
  <c r="B72" i="18"/>
  <c r="X71" i="18"/>
  <c r="Z71" i="18" s="1"/>
  <c r="L71" i="18"/>
  <c r="N71" i="18" s="1"/>
  <c r="B71" i="18"/>
  <c r="Z70" i="18"/>
  <c r="X70" i="18"/>
  <c r="T70" i="18"/>
  <c r="P70" i="18"/>
  <c r="H70" i="18"/>
  <c r="L70" i="18" s="1"/>
  <c r="N70" i="18" s="1"/>
  <c r="D70" i="18"/>
  <c r="B70" i="18"/>
  <c r="X69" i="18"/>
  <c r="Z69" i="18" s="1"/>
  <c r="L69" i="18"/>
  <c r="N69" i="18" s="1"/>
  <c r="B69" i="18"/>
  <c r="Z68" i="18"/>
  <c r="X68" i="18"/>
  <c r="N68" i="18"/>
  <c r="L68" i="18"/>
  <c r="B68" i="18"/>
  <c r="X67" i="18"/>
  <c r="Z67" i="18" s="1"/>
  <c r="L67" i="18"/>
  <c r="N67" i="18" s="1"/>
  <c r="B67" i="18"/>
  <c r="Z66" i="18"/>
  <c r="X66" i="18"/>
  <c r="N66" i="18"/>
  <c r="L66" i="18"/>
  <c r="B66" i="18"/>
  <c r="Z65" i="18"/>
  <c r="X65" i="18"/>
  <c r="N65" i="18"/>
  <c r="L65" i="18"/>
  <c r="B65" i="18"/>
  <c r="Z64" i="18"/>
  <c r="X64" i="18"/>
  <c r="N64" i="18"/>
  <c r="L64" i="18"/>
  <c r="B64" i="18"/>
  <c r="X63" i="18"/>
  <c r="Z63" i="18" s="1"/>
  <c r="L63" i="18"/>
  <c r="N63" i="18" s="1"/>
  <c r="B63" i="18"/>
  <c r="Z62" i="18"/>
  <c r="X62" i="18"/>
  <c r="N62" i="18"/>
  <c r="L62" i="18"/>
  <c r="B62" i="18"/>
  <c r="X61" i="18"/>
  <c r="Z61" i="18" s="1"/>
  <c r="L61" i="18"/>
  <c r="N61" i="18" s="1"/>
  <c r="B61" i="18"/>
  <c r="Z60" i="18"/>
  <c r="X60" i="18"/>
  <c r="N60" i="18"/>
  <c r="L60" i="18"/>
  <c r="B60" i="18"/>
  <c r="X59" i="18"/>
  <c r="T59" i="18"/>
  <c r="Z59" i="18" s="1"/>
  <c r="P59" i="18"/>
  <c r="H59" i="18"/>
  <c r="N59" i="18" s="1"/>
  <c r="D59" i="18"/>
  <c r="L59" i="18" s="1"/>
  <c r="B59" i="18"/>
  <c r="T58" i="18"/>
  <c r="P58" i="18"/>
  <c r="X58" i="18" s="1"/>
  <c r="Z58" i="18" s="1"/>
  <c r="H58" i="18"/>
  <c r="D58" i="18"/>
  <c r="L58" i="18" s="1"/>
  <c r="N58" i="18" s="1"/>
  <c r="Z54" i="18"/>
  <c r="X54" i="18"/>
  <c r="N54" i="18"/>
  <c r="L54" i="18"/>
  <c r="B54" i="18"/>
  <c r="Z53" i="18"/>
  <c r="X53" i="18"/>
  <c r="N53" i="18"/>
  <c r="L53" i="18"/>
  <c r="B53" i="18"/>
  <c r="Z52" i="18"/>
  <c r="X52" i="18"/>
  <c r="N52" i="18"/>
  <c r="L52" i="18"/>
  <c r="B52" i="18"/>
  <c r="Z51" i="18"/>
  <c r="X51" i="18"/>
  <c r="N51" i="18"/>
  <c r="L51" i="18"/>
  <c r="B51" i="18"/>
  <c r="Z50" i="18"/>
  <c r="X50" i="18"/>
  <c r="N50" i="18"/>
  <c r="L50" i="18"/>
  <c r="B50" i="18"/>
  <c r="Z49" i="18"/>
  <c r="X49" i="18"/>
  <c r="N49" i="18"/>
  <c r="L49" i="18"/>
  <c r="B49" i="18"/>
  <c r="Z48" i="18"/>
  <c r="X48" i="18"/>
  <c r="N48" i="18"/>
  <c r="L48" i="18"/>
  <c r="B48" i="18"/>
  <c r="Z47" i="18"/>
  <c r="X47" i="18"/>
  <c r="N47" i="18"/>
  <c r="L47" i="18"/>
  <c r="B47" i="18"/>
  <c r="Z46" i="18"/>
  <c r="X46" i="18"/>
  <c r="N46" i="18"/>
  <c r="L46" i="18"/>
  <c r="B46" i="18"/>
  <c r="Z45" i="18"/>
  <c r="X45" i="18"/>
  <c r="N45" i="18"/>
  <c r="L45" i="18"/>
  <c r="B45" i="18"/>
  <c r="Z44" i="18"/>
  <c r="X44" i="18"/>
  <c r="N44" i="18"/>
  <c r="L44" i="18"/>
  <c r="B44" i="18"/>
  <c r="Z43" i="18"/>
  <c r="X43" i="18"/>
  <c r="N43" i="18"/>
  <c r="L43" i="18"/>
  <c r="B43" i="18"/>
  <c r="Z42" i="18"/>
  <c r="X42" i="18"/>
  <c r="N42" i="18"/>
  <c r="L42" i="18"/>
  <c r="B42" i="18"/>
  <c r="Z41" i="18"/>
  <c r="X41" i="18"/>
  <c r="N41" i="18"/>
  <c r="L41" i="18"/>
  <c r="B41" i="18"/>
  <c r="Z40" i="18"/>
  <c r="X40" i="18"/>
  <c r="N40" i="18"/>
  <c r="L40" i="18"/>
  <c r="B40" i="18"/>
  <c r="Z39" i="18"/>
  <c r="X39" i="18"/>
  <c r="N39" i="18"/>
  <c r="L39" i="18"/>
  <c r="B39" i="18"/>
  <c r="Z38" i="18"/>
  <c r="X38" i="18"/>
  <c r="N38" i="18"/>
  <c r="L38" i="18"/>
  <c r="B38" i="18"/>
  <c r="Z37" i="18"/>
  <c r="X37" i="18"/>
  <c r="N37" i="18"/>
  <c r="L37" i="18"/>
  <c r="B37" i="18"/>
  <c r="Z36" i="18"/>
  <c r="X36" i="18"/>
  <c r="N36" i="18"/>
  <c r="L36" i="18"/>
  <c r="B36" i="18"/>
  <c r="Z35" i="18"/>
  <c r="X35" i="18"/>
  <c r="N35" i="18"/>
  <c r="L35" i="18"/>
  <c r="B35" i="18"/>
  <c r="Z34" i="18"/>
  <c r="X34" i="18"/>
  <c r="N34" i="18"/>
  <c r="L34" i="18"/>
  <c r="B34" i="18"/>
  <c r="Z33" i="18"/>
  <c r="X33" i="18"/>
  <c r="N33" i="18"/>
  <c r="L33" i="18"/>
  <c r="B33" i="18"/>
  <c r="Z32" i="18"/>
  <c r="X32" i="18"/>
  <c r="N32" i="18"/>
  <c r="L32" i="18"/>
  <c r="B32" i="18"/>
  <c r="Z31" i="18"/>
  <c r="X31" i="18"/>
  <c r="N31" i="18"/>
  <c r="L31" i="18"/>
  <c r="B31" i="18"/>
  <c r="Z30" i="18"/>
  <c r="X30" i="18"/>
  <c r="N30" i="18"/>
  <c r="L30" i="18"/>
  <c r="B30" i="18"/>
  <c r="Z29" i="18"/>
  <c r="X29" i="18"/>
  <c r="N29" i="18"/>
  <c r="L29" i="18"/>
  <c r="B29" i="18"/>
  <c r="Z28" i="18"/>
  <c r="X28" i="18"/>
  <c r="N28" i="18"/>
  <c r="L28" i="18"/>
  <c r="B28" i="18"/>
  <c r="Z27" i="18"/>
  <c r="X27" i="18"/>
  <c r="N27" i="18"/>
  <c r="L27" i="18"/>
  <c r="B27" i="18"/>
  <c r="Z26" i="18"/>
  <c r="X26" i="18"/>
  <c r="N26" i="18"/>
  <c r="L26" i="18"/>
  <c r="B26" i="18"/>
  <c r="Z25" i="18"/>
  <c r="X25" i="18"/>
  <c r="N25" i="18"/>
  <c r="L25" i="18"/>
  <c r="B25" i="18"/>
  <c r="Z24" i="18"/>
  <c r="X24" i="18"/>
  <c r="N24" i="18"/>
  <c r="L24" i="18"/>
  <c r="B24" i="18"/>
  <c r="Z23" i="18"/>
  <c r="X23" i="18"/>
  <c r="N23" i="18"/>
  <c r="L23" i="18"/>
  <c r="B23" i="18"/>
  <c r="Z22" i="18"/>
  <c r="X22" i="18"/>
  <c r="N22" i="18"/>
  <c r="L22" i="18"/>
  <c r="B22" i="18"/>
  <c r="V21" i="18"/>
  <c r="T21" i="18"/>
  <c r="Z21" i="18" s="1"/>
  <c r="P21" i="18"/>
  <c r="X21" i="18" s="1"/>
  <c r="H21" i="18"/>
  <c r="N21" i="18" s="1"/>
  <c r="D21" i="18"/>
  <c r="L21" i="18" s="1"/>
  <c r="Z19" i="18"/>
  <c r="X19" i="18"/>
  <c r="P19" i="18"/>
  <c r="N19" i="18"/>
  <c r="D19" i="18"/>
  <c r="L19" i="18" s="1"/>
  <c r="B19" i="18"/>
  <c r="Z18" i="18"/>
  <c r="P18" i="18"/>
  <c r="X18" i="18" s="1"/>
  <c r="N18" i="18"/>
  <c r="L18" i="18"/>
  <c r="D18" i="18"/>
  <c r="B18" i="18"/>
  <c r="Z17" i="18"/>
  <c r="X17" i="18"/>
  <c r="P17" i="18"/>
  <c r="N17" i="18"/>
  <c r="D17" i="18"/>
  <c r="L17" i="18" s="1"/>
  <c r="B17" i="18"/>
  <c r="Z16" i="18"/>
  <c r="X16" i="18"/>
  <c r="P16" i="18"/>
  <c r="N16" i="18"/>
  <c r="L16" i="18"/>
  <c r="D16" i="18"/>
  <c r="B16" i="18"/>
  <c r="Z15" i="18"/>
  <c r="P15" i="18"/>
  <c r="X15" i="18" s="1"/>
  <c r="N15" i="18"/>
  <c r="D15" i="18"/>
  <c r="L15" i="18" s="1"/>
  <c r="B15" i="18"/>
  <c r="P14" i="18"/>
  <c r="X14" i="18" s="1"/>
  <c r="Z14" i="18" s="1"/>
  <c r="N14" i="18"/>
  <c r="L14" i="18"/>
  <c r="D14" i="18"/>
  <c r="B14" i="18"/>
  <c r="X13" i="18"/>
  <c r="Z13" i="18" s="1"/>
  <c r="P13" i="18"/>
  <c r="L13" i="18"/>
  <c r="N13" i="18" s="1"/>
  <c r="D13" i="18"/>
  <c r="D12" i="18" s="1"/>
  <c r="L12" i="18" s="1"/>
  <c r="B13" i="18"/>
  <c r="T12" i="18"/>
  <c r="V154" i="18" s="1"/>
  <c r="H12" i="18"/>
  <c r="J153" i="18" s="1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Z12" i="17" s="1"/>
  <c r="P12" i="17"/>
  <c r="R25" i="17" s="1"/>
  <c r="H12" i="17"/>
  <c r="J18" i="17" s="1"/>
  <c r="D12" i="17"/>
  <c r="F22" i="17" s="1"/>
  <c r="D5" i="17"/>
  <c r="D4" i="17"/>
  <c r="B39" i="16"/>
  <c r="B38" i="16"/>
  <c r="T34" i="16"/>
  <c r="Z34" i="16" s="1"/>
  <c r="P34" i="16"/>
  <c r="H34" i="16"/>
  <c r="N34" i="16" s="1"/>
  <c r="D34" i="16"/>
  <c r="T33" i="16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P12" i="16"/>
  <c r="H12" i="16"/>
  <c r="J25" i="16" s="1"/>
  <c r="D12" i="16"/>
  <c r="F34" i="16" s="1"/>
  <c r="D5" i="16"/>
  <c r="D4" i="16"/>
  <c r="X153" i="15"/>
  <c r="Z153" i="15" s="1"/>
  <c r="V153" i="15"/>
  <c r="N153" i="15"/>
  <c r="L153" i="15"/>
  <c r="Z149" i="15"/>
  <c r="X149" i="15"/>
  <c r="P149" i="15"/>
  <c r="N149" i="15"/>
  <c r="D149" i="15"/>
  <c r="L149" i="15" s="1"/>
  <c r="B149" i="15"/>
  <c r="Z148" i="15"/>
  <c r="P148" i="15"/>
  <c r="X148" i="15" s="1"/>
  <c r="L148" i="15"/>
  <c r="N148" i="15" s="1"/>
  <c r="D148" i="15"/>
  <c r="B148" i="15"/>
  <c r="Z147" i="15"/>
  <c r="X147" i="15"/>
  <c r="P147" i="15"/>
  <c r="N147" i="15"/>
  <c r="D147" i="15"/>
  <c r="L147" i="15" s="1"/>
  <c r="B147" i="15"/>
  <c r="P146" i="15"/>
  <c r="X146" i="15" s="1"/>
  <c r="Z146" i="15" s="1"/>
  <c r="N146" i="15"/>
  <c r="L146" i="15"/>
  <c r="J146" i="15"/>
  <c r="D146" i="15"/>
  <c r="B146" i="15"/>
  <c r="P145" i="15"/>
  <c r="P144" i="15" s="1"/>
  <c r="X144" i="15" s="1"/>
  <c r="Z144" i="15" s="1"/>
  <c r="D145" i="15"/>
  <c r="B145" i="15"/>
  <c r="T144" i="15"/>
  <c r="H144" i="15"/>
  <c r="Z142" i="15"/>
  <c r="X142" i="15"/>
  <c r="V142" i="15"/>
  <c r="N142" i="15"/>
  <c r="L142" i="15"/>
  <c r="B142" i="15"/>
  <c r="T141" i="15"/>
  <c r="P141" i="15"/>
  <c r="X141" i="15" s="1"/>
  <c r="H141" i="15"/>
  <c r="D141" i="15"/>
  <c r="L141" i="15" s="1"/>
  <c r="B141" i="15"/>
  <c r="Z140" i="15"/>
  <c r="X140" i="15"/>
  <c r="N140" i="15"/>
  <c r="L140" i="15"/>
  <c r="B140" i="15"/>
  <c r="X139" i="15"/>
  <c r="Z139" i="15" s="1"/>
  <c r="N139" i="15"/>
  <c r="L139" i="15"/>
  <c r="B139" i="15"/>
  <c r="Z138" i="15"/>
  <c r="X138" i="15"/>
  <c r="N138" i="15"/>
  <c r="L138" i="15"/>
  <c r="B138" i="15"/>
  <c r="X137" i="15"/>
  <c r="V137" i="15"/>
  <c r="T137" i="15"/>
  <c r="P137" i="15"/>
  <c r="H137" i="15"/>
  <c r="D137" i="15"/>
  <c r="L137" i="15" s="1"/>
  <c r="B137" i="15"/>
  <c r="Z136" i="15"/>
  <c r="X136" i="15"/>
  <c r="N136" i="15"/>
  <c r="L136" i="15"/>
  <c r="B136" i="15"/>
  <c r="T135" i="15"/>
  <c r="Z135" i="15" s="1"/>
  <c r="P135" i="15"/>
  <c r="H135" i="15"/>
  <c r="N135" i="15" s="1"/>
  <c r="D135" i="15"/>
  <c r="L135" i="15" s="1"/>
  <c r="B135" i="15"/>
  <c r="Z134" i="15"/>
  <c r="X134" i="15"/>
  <c r="N134" i="15"/>
  <c r="L134" i="15"/>
  <c r="B134" i="15"/>
  <c r="Z133" i="15"/>
  <c r="X133" i="15"/>
  <c r="N133" i="15"/>
  <c r="L133" i="15"/>
  <c r="J133" i="15"/>
  <c r="B133" i="15"/>
  <c r="T132" i="15"/>
  <c r="P132" i="15"/>
  <c r="X132" i="15" s="1"/>
  <c r="Z132" i="15" s="1"/>
  <c r="N132" i="15"/>
  <c r="L132" i="15"/>
  <c r="H132" i="15"/>
  <c r="D132" i="15"/>
  <c r="B132" i="15"/>
  <c r="Z131" i="15"/>
  <c r="X131" i="15"/>
  <c r="L131" i="15"/>
  <c r="N131" i="15" s="1"/>
  <c r="B131" i="15"/>
  <c r="Z130" i="15"/>
  <c r="X130" i="15"/>
  <c r="N130" i="15"/>
  <c r="L130" i="15"/>
  <c r="B130" i="15"/>
  <c r="Z129" i="15"/>
  <c r="X129" i="15"/>
  <c r="L129" i="15"/>
  <c r="N129" i="15" s="1"/>
  <c r="J129" i="15"/>
  <c r="B129" i="15"/>
  <c r="Z128" i="15"/>
  <c r="X128" i="15"/>
  <c r="L128" i="15"/>
  <c r="N128" i="15" s="1"/>
  <c r="B128" i="15"/>
  <c r="X127" i="15"/>
  <c r="Z127" i="15" s="1"/>
  <c r="N127" i="15"/>
  <c r="L127" i="15"/>
  <c r="B127" i="15"/>
  <c r="Z126" i="15"/>
  <c r="X126" i="15"/>
  <c r="N126" i="15"/>
  <c r="L126" i="15"/>
  <c r="B126" i="15"/>
  <c r="X125" i="15"/>
  <c r="Z125" i="15" s="1"/>
  <c r="V125" i="15"/>
  <c r="N125" i="15"/>
  <c r="L125" i="15"/>
  <c r="B125" i="15"/>
  <c r="X124" i="15"/>
  <c r="T124" i="15"/>
  <c r="P124" i="15"/>
  <c r="H124" i="15"/>
  <c r="D124" i="15"/>
  <c r="L124" i="15" s="1"/>
  <c r="B124" i="15"/>
  <c r="X123" i="15"/>
  <c r="Z123" i="15" s="1"/>
  <c r="N123" i="15"/>
  <c r="L123" i="15"/>
  <c r="B123" i="15"/>
  <c r="Z122" i="15"/>
  <c r="X122" i="15"/>
  <c r="L122" i="15"/>
  <c r="N122" i="15" s="1"/>
  <c r="B122" i="15"/>
  <c r="V121" i="15"/>
  <c r="T121" i="15"/>
  <c r="X121" i="15" s="1"/>
  <c r="P121" i="15"/>
  <c r="H121" i="15"/>
  <c r="D121" i="15"/>
  <c r="L121" i="15" s="1"/>
  <c r="B121" i="15"/>
  <c r="Z120" i="15"/>
  <c r="X120" i="15"/>
  <c r="N120" i="15"/>
  <c r="L120" i="15"/>
  <c r="B120" i="15"/>
  <c r="X119" i="15"/>
  <c r="Z119" i="15" s="1"/>
  <c r="N119" i="15"/>
  <c r="L119" i="15"/>
  <c r="B119" i="15"/>
  <c r="Z118" i="15"/>
  <c r="X118" i="15"/>
  <c r="L118" i="15"/>
  <c r="N118" i="15" s="1"/>
  <c r="B118" i="15"/>
  <c r="V117" i="15"/>
  <c r="T117" i="15"/>
  <c r="X117" i="15" s="1"/>
  <c r="P117" i="15"/>
  <c r="H117" i="15"/>
  <c r="D117" i="15"/>
  <c r="L117" i="15" s="1"/>
  <c r="B117" i="15"/>
  <c r="Z116" i="15"/>
  <c r="X116" i="15"/>
  <c r="L116" i="15"/>
  <c r="N116" i="15" s="1"/>
  <c r="B116" i="15"/>
  <c r="Z115" i="15"/>
  <c r="X115" i="15"/>
  <c r="N115" i="15"/>
  <c r="L115" i="15"/>
  <c r="B115" i="15"/>
  <c r="Z114" i="15"/>
  <c r="X114" i="15"/>
  <c r="N114" i="15"/>
  <c r="L114" i="15"/>
  <c r="B114" i="15"/>
  <c r="X113" i="15"/>
  <c r="Z113" i="15" s="1"/>
  <c r="V113" i="15"/>
  <c r="N113" i="15"/>
  <c r="L113" i="15"/>
  <c r="B113" i="15"/>
  <c r="X112" i="15"/>
  <c r="T112" i="15"/>
  <c r="Z112" i="15" s="1"/>
  <c r="P112" i="15"/>
  <c r="H112" i="15"/>
  <c r="D112" i="15"/>
  <c r="L112" i="15" s="1"/>
  <c r="B112" i="15"/>
  <c r="X111" i="15"/>
  <c r="Z111" i="15" s="1"/>
  <c r="N111" i="15"/>
  <c r="L111" i="15"/>
  <c r="B111" i="15"/>
  <c r="Z110" i="15"/>
  <c r="X110" i="15"/>
  <c r="L110" i="15"/>
  <c r="N110" i="15" s="1"/>
  <c r="B110" i="15"/>
  <c r="X109" i="15"/>
  <c r="Z109" i="15" s="1"/>
  <c r="V109" i="15"/>
  <c r="N109" i="15"/>
  <c r="L109" i="15"/>
  <c r="B109" i="15"/>
  <c r="X108" i="15"/>
  <c r="Z108" i="15" s="1"/>
  <c r="N108" i="15"/>
  <c r="L108" i="15"/>
  <c r="B108" i="15"/>
  <c r="Z107" i="15"/>
  <c r="X107" i="15"/>
  <c r="T107" i="15"/>
  <c r="P107" i="15"/>
  <c r="J107" i="15"/>
  <c r="H107" i="15"/>
  <c r="L107" i="15" s="1"/>
  <c r="D107" i="15"/>
  <c r="B107" i="15"/>
  <c r="Z106" i="15"/>
  <c r="X106" i="15"/>
  <c r="L106" i="15"/>
  <c r="N106" i="15" s="1"/>
  <c r="B106" i="15"/>
  <c r="V105" i="15"/>
  <c r="T105" i="15"/>
  <c r="X105" i="15" s="1"/>
  <c r="P105" i="15"/>
  <c r="H105" i="15"/>
  <c r="D105" i="15"/>
  <c r="L105" i="15" s="1"/>
  <c r="B105" i="15"/>
  <c r="Z104" i="15"/>
  <c r="X104" i="15"/>
  <c r="N104" i="15"/>
  <c r="L104" i="15"/>
  <c r="B104" i="15"/>
  <c r="T103" i="15"/>
  <c r="Z103" i="15" s="1"/>
  <c r="P103" i="15"/>
  <c r="X103" i="15" s="1"/>
  <c r="N103" i="15"/>
  <c r="H103" i="15"/>
  <c r="D103" i="15"/>
  <c r="L103" i="15" s="1"/>
  <c r="B103" i="15"/>
  <c r="X102" i="15"/>
  <c r="Z102" i="15" s="1"/>
  <c r="N102" i="15"/>
  <c r="L102" i="15"/>
  <c r="B102" i="15"/>
  <c r="T101" i="15"/>
  <c r="P101" i="15"/>
  <c r="X101" i="15" s="1"/>
  <c r="Z101" i="15" s="1"/>
  <c r="N101" i="15"/>
  <c r="L101" i="15"/>
  <c r="H101" i="15"/>
  <c r="D101" i="15"/>
  <c r="B101" i="15"/>
  <c r="X100" i="15"/>
  <c r="Z100" i="15" s="1"/>
  <c r="N100" i="15"/>
  <c r="L100" i="15"/>
  <c r="B100" i="15"/>
  <c r="Z99" i="15"/>
  <c r="X99" i="15"/>
  <c r="T99" i="15"/>
  <c r="P99" i="15"/>
  <c r="J99" i="15"/>
  <c r="H99" i="15"/>
  <c r="L99" i="15" s="1"/>
  <c r="D99" i="15"/>
  <c r="B99" i="15"/>
  <c r="Z98" i="15"/>
  <c r="X98" i="15"/>
  <c r="N98" i="15"/>
  <c r="L98" i="15"/>
  <c r="B98" i="15"/>
  <c r="X97" i="15"/>
  <c r="Z97" i="15" s="1"/>
  <c r="V97" i="15"/>
  <c r="N97" i="15"/>
  <c r="L97" i="15"/>
  <c r="B97" i="15"/>
  <c r="X96" i="15"/>
  <c r="T96" i="15"/>
  <c r="Z96" i="15" s="1"/>
  <c r="P96" i="15"/>
  <c r="H96" i="15"/>
  <c r="D96" i="15"/>
  <c r="L96" i="15" s="1"/>
  <c r="B96" i="15"/>
  <c r="X95" i="15"/>
  <c r="Z95" i="15" s="1"/>
  <c r="N95" i="15"/>
  <c r="L95" i="15"/>
  <c r="B95" i="15"/>
  <c r="Z94" i="15"/>
  <c r="X94" i="15"/>
  <c r="N94" i="15"/>
  <c r="L94" i="15"/>
  <c r="B94" i="15"/>
  <c r="V93" i="15"/>
  <c r="T93" i="15"/>
  <c r="X93" i="15" s="1"/>
  <c r="P93" i="15"/>
  <c r="H93" i="15"/>
  <c r="N93" i="15" s="1"/>
  <c r="F93" i="15"/>
  <c r="D93" i="15"/>
  <c r="L93" i="15" s="1"/>
  <c r="B93" i="15"/>
  <c r="Z92" i="15"/>
  <c r="X92" i="15"/>
  <c r="L92" i="15"/>
  <c r="N92" i="15" s="1"/>
  <c r="B92" i="15"/>
  <c r="T91" i="15"/>
  <c r="Z91" i="15" s="1"/>
  <c r="P91" i="15"/>
  <c r="X91" i="15" s="1"/>
  <c r="H91" i="15"/>
  <c r="D91" i="15"/>
  <c r="L91" i="15" s="1"/>
  <c r="N91" i="15" s="1"/>
  <c r="B91" i="15"/>
  <c r="X90" i="15"/>
  <c r="Z90" i="15" s="1"/>
  <c r="N90" i="15"/>
  <c r="L90" i="15"/>
  <c r="F90" i="15"/>
  <c r="B90" i="15"/>
  <c r="T89" i="15"/>
  <c r="P89" i="15"/>
  <c r="X89" i="15" s="1"/>
  <c r="Z89" i="15" s="1"/>
  <c r="N89" i="15"/>
  <c r="L89" i="15"/>
  <c r="H89" i="15"/>
  <c r="D89" i="15"/>
  <c r="B89" i="15"/>
  <c r="X88" i="15"/>
  <c r="Z88" i="15" s="1"/>
  <c r="N88" i="15"/>
  <c r="L88" i="15"/>
  <c r="B88" i="15"/>
  <c r="Z87" i="15"/>
  <c r="X87" i="15"/>
  <c r="T87" i="15"/>
  <c r="P87" i="15"/>
  <c r="J87" i="15"/>
  <c r="H87" i="15"/>
  <c r="L87" i="15" s="1"/>
  <c r="D87" i="15"/>
  <c r="B87" i="15"/>
  <c r="Z86" i="15"/>
  <c r="X86" i="15"/>
  <c r="N86" i="15"/>
  <c r="L86" i="15"/>
  <c r="B86" i="15"/>
  <c r="Z85" i="15"/>
  <c r="X85" i="15"/>
  <c r="V85" i="15"/>
  <c r="N85" i="15"/>
  <c r="L85" i="15"/>
  <c r="B85" i="15"/>
  <c r="X84" i="15"/>
  <c r="T84" i="15"/>
  <c r="Z84" i="15" s="1"/>
  <c r="P84" i="15"/>
  <c r="H84" i="15"/>
  <c r="N84" i="15" s="1"/>
  <c r="D84" i="15"/>
  <c r="L84" i="15" s="1"/>
  <c r="B84" i="15"/>
  <c r="X83" i="15"/>
  <c r="Z83" i="15" s="1"/>
  <c r="N83" i="15"/>
  <c r="L83" i="15"/>
  <c r="B83" i="15"/>
  <c r="Z82" i="15"/>
  <c r="X82" i="15"/>
  <c r="N82" i="15"/>
  <c r="L82" i="15"/>
  <c r="B82" i="15"/>
  <c r="V81" i="15"/>
  <c r="T81" i="15"/>
  <c r="X81" i="15" s="1"/>
  <c r="P81" i="15"/>
  <c r="H81" i="15"/>
  <c r="D81" i="15"/>
  <c r="L81" i="15" s="1"/>
  <c r="B81" i="15"/>
  <c r="Z80" i="15"/>
  <c r="X80" i="15"/>
  <c r="L80" i="15"/>
  <c r="N80" i="15" s="1"/>
  <c r="B80" i="15"/>
  <c r="T79" i="15"/>
  <c r="P79" i="15"/>
  <c r="X79" i="15" s="1"/>
  <c r="H79" i="15"/>
  <c r="D79" i="15"/>
  <c r="L79" i="15" s="1"/>
  <c r="N79" i="15" s="1"/>
  <c r="B79" i="15"/>
  <c r="Z78" i="15"/>
  <c r="X78" i="15"/>
  <c r="N78" i="15"/>
  <c r="L78" i="15"/>
  <c r="F78" i="15"/>
  <c r="B78" i="15"/>
  <c r="T77" i="15"/>
  <c r="P77" i="15"/>
  <c r="X77" i="15" s="1"/>
  <c r="Z77" i="15" s="1"/>
  <c r="N77" i="15"/>
  <c r="L77" i="15"/>
  <c r="H77" i="15"/>
  <c r="D77" i="15"/>
  <c r="B77" i="15"/>
  <c r="X76" i="15"/>
  <c r="Z76" i="15" s="1"/>
  <c r="N76" i="15"/>
  <c r="L76" i="15"/>
  <c r="B76" i="15"/>
  <c r="Z75" i="15"/>
  <c r="X75" i="15"/>
  <c r="T75" i="15"/>
  <c r="P75" i="15"/>
  <c r="J75" i="15"/>
  <c r="H75" i="15"/>
  <c r="L75" i="15" s="1"/>
  <c r="D75" i="15"/>
  <c r="B75" i="15"/>
  <c r="Z74" i="15"/>
  <c r="X74" i="15"/>
  <c r="N74" i="15"/>
  <c r="L74" i="15"/>
  <c r="B74" i="15"/>
  <c r="Z73" i="15"/>
  <c r="X73" i="15"/>
  <c r="V73" i="15"/>
  <c r="N73" i="15"/>
  <c r="L73" i="15"/>
  <c r="B73" i="15"/>
  <c r="X72" i="15"/>
  <c r="Z72" i="15" s="1"/>
  <c r="N72" i="15"/>
  <c r="L72" i="15"/>
  <c r="B72" i="15"/>
  <c r="Z71" i="15"/>
  <c r="X71" i="15"/>
  <c r="L71" i="15"/>
  <c r="N71" i="15" s="1"/>
  <c r="B71" i="15"/>
  <c r="Z70" i="15"/>
  <c r="X70" i="15"/>
  <c r="N70" i="15"/>
  <c r="L70" i="15"/>
  <c r="B70" i="15"/>
  <c r="Z69" i="15"/>
  <c r="X69" i="15"/>
  <c r="L69" i="15"/>
  <c r="N69" i="15" s="1"/>
  <c r="J69" i="15"/>
  <c r="B69" i="15"/>
  <c r="Z68" i="15"/>
  <c r="X68" i="15"/>
  <c r="L68" i="15"/>
  <c r="N68" i="15" s="1"/>
  <c r="B68" i="15"/>
  <c r="Z67" i="15"/>
  <c r="X67" i="15"/>
  <c r="N67" i="15"/>
  <c r="L67" i="15"/>
  <c r="B67" i="15"/>
  <c r="Z66" i="15"/>
  <c r="X66" i="15"/>
  <c r="N66" i="15"/>
  <c r="L66" i="15"/>
  <c r="B66" i="15"/>
  <c r="X65" i="15"/>
  <c r="Z65" i="15" s="1"/>
  <c r="V65" i="15"/>
  <c r="N65" i="15"/>
  <c r="L65" i="15"/>
  <c r="B65" i="15"/>
  <c r="X64" i="15"/>
  <c r="T64" i="15"/>
  <c r="P64" i="15"/>
  <c r="H64" i="15"/>
  <c r="D64" i="15"/>
  <c r="B64" i="15"/>
  <c r="X63" i="15"/>
  <c r="Z63" i="15" s="1"/>
  <c r="N63" i="15"/>
  <c r="L63" i="15"/>
  <c r="B63" i="15"/>
  <c r="Z62" i="15"/>
  <c r="X62" i="15"/>
  <c r="N62" i="15"/>
  <c r="L62" i="15"/>
  <c r="B62" i="15"/>
  <c r="X61" i="15"/>
  <c r="Z61" i="15" s="1"/>
  <c r="V61" i="15"/>
  <c r="N61" i="15"/>
  <c r="L61" i="15"/>
  <c r="B61" i="15"/>
  <c r="Z60" i="15"/>
  <c r="X60" i="15"/>
  <c r="N60" i="15"/>
  <c r="L60" i="15"/>
  <c r="B60" i="15"/>
  <c r="Z59" i="15"/>
  <c r="X59" i="15"/>
  <c r="N59" i="15"/>
  <c r="L59" i="15"/>
  <c r="B59" i="15"/>
  <c r="Z58" i="15"/>
  <c r="X58" i="15"/>
  <c r="N58" i="15"/>
  <c r="L58" i="15"/>
  <c r="B58" i="15"/>
  <c r="Z57" i="15"/>
  <c r="X57" i="15"/>
  <c r="L57" i="15"/>
  <c r="N57" i="15" s="1"/>
  <c r="J57" i="15"/>
  <c r="B57" i="15"/>
  <c r="X56" i="15"/>
  <c r="Z56" i="15" s="1"/>
  <c r="L56" i="15"/>
  <c r="N56" i="15" s="1"/>
  <c r="B56" i="15"/>
  <c r="X55" i="15"/>
  <c r="Z55" i="15" s="1"/>
  <c r="N55" i="15"/>
  <c r="L55" i="15"/>
  <c r="B55" i="15"/>
  <c r="Z54" i="15"/>
  <c r="X54" i="15"/>
  <c r="N54" i="15"/>
  <c r="L54" i="15"/>
  <c r="B54" i="15"/>
  <c r="V53" i="15"/>
  <c r="T53" i="15"/>
  <c r="X53" i="15" s="1"/>
  <c r="P53" i="15"/>
  <c r="H53" i="15"/>
  <c r="N53" i="15" s="1"/>
  <c r="D53" i="15"/>
  <c r="L53" i="15" s="1"/>
  <c r="B53" i="15"/>
  <c r="T52" i="15"/>
  <c r="P52" i="15"/>
  <c r="X52" i="15" s="1"/>
  <c r="H52" i="15"/>
  <c r="D52" i="15"/>
  <c r="L52" i="15" s="1"/>
  <c r="N52" i="15" s="1"/>
  <c r="H50" i="15"/>
  <c r="Z48" i="15"/>
  <c r="X48" i="15"/>
  <c r="N48" i="15"/>
  <c r="L48" i="15"/>
  <c r="B48" i="15"/>
  <c r="Z47" i="15"/>
  <c r="X47" i="15"/>
  <c r="N47" i="15"/>
  <c r="L47" i="15"/>
  <c r="B47" i="15"/>
  <c r="Z46" i="15"/>
  <c r="X46" i="15"/>
  <c r="N46" i="15"/>
  <c r="L46" i="15"/>
  <c r="B46" i="15"/>
  <c r="Z45" i="15"/>
  <c r="X45" i="15"/>
  <c r="V45" i="15"/>
  <c r="N45" i="15"/>
  <c r="L45" i="15"/>
  <c r="B45" i="15"/>
  <c r="Z44" i="15"/>
  <c r="X44" i="15"/>
  <c r="N44" i="15"/>
  <c r="L44" i="15"/>
  <c r="B44" i="15"/>
  <c r="Z43" i="15"/>
  <c r="X43" i="15"/>
  <c r="N43" i="15"/>
  <c r="L43" i="15"/>
  <c r="B43" i="15"/>
  <c r="Z42" i="15"/>
  <c r="X42" i="15"/>
  <c r="N42" i="15"/>
  <c r="L42" i="15"/>
  <c r="F42" i="15"/>
  <c r="B42" i="15"/>
  <c r="Z41" i="15"/>
  <c r="X41" i="15"/>
  <c r="N41" i="15"/>
  <c r="L41" i="15"/>
  <c r="J41" i="15"/>
  <c r="B41" i="15"/>
  <c r="Z40" i="15"/>
  <c r="X40" i="15"/>
  <c r="N40" i="15"/>
  <c r="L40" i="15"/>
  <c r="B40" i="15"/>
  <c r="Z39" i="15"/>
  <c r="X39" i="15"/>
  <c r="N39" i="15"/>
  <c r="L39" i="15"/>
  <c r="B39" i="15"/>
  <c r="Z38" i="15"/>
  <c r="X38" i="15"/>
  <c r="N38" i="15"/>
  <c r="L38" i="15"/>
  <c r="B38" i="15"/>
  <c r="Z37" i="15"/>
  <c r="X37" i="15"/>
  <c r="V37" i="15"/>
  <c r="N37" i="15"/>
  <c r="L37" i="15"/>
  <c r="B37" i="15"/>
  <c r="Z36" i="15"/>
  <c r="X36" i="15"/>
  <c r="N36" i="15"/>
  <c r="L36" i="15"/>
  <c r="B36" i="15"/>
  <c r="Z35" i="15"/>
  <c r="X35" i="15"/>
  <c r="N35" i="15"/>
  <c r="L35" i="15"/>
  <c r="B35" i="15"/>
  <c r="Z34" i="15"/>
  <c r="X34" i="15"/>
  <c r="N34" i="15"/>
  <c r="L34" i="15"/>
  <c r="B34" i="15"/>
  <c r="Z33" i="15"/>
  <c r="X33" i="15"/>
  <c r="N33" i="15"/>
  <c r="L33" i="15"/>
  <c r="J33" i="15"/>
  <c r="B33" i="15"/>
  <c r="Z32" i="15"/>
  <c r="X32" i="15"/>
  <c r="N32" i="15"/>
  <c r="L32" i="15"/>
  <c r="B32" i="15"/>
  <c r="Z31" i="15"/>
  <c r="X31" i="15"/>
  <c r="N31" i="15"/>
  <c r="L31" i="15"/>
  <c r="B31" i="15"/>
  <c r="Z30" i="15"/>
  <c r="X30" i="15"/>
  <c r="N30" i="15"/>
  <c r="L30" i="15"/>
  <c r="B30" i="15"/>
  <c r="Z29" i="15"/>
  <c r="X29" i="15"/>
  <c r="V29" i="15"/>
  <c r="N29" i="15"/>
  <c r="L29" i="15"/>
  <c r="B29" i="15"/>
  <c r="Z28" i="15"/>
  <c r="X28" i="15"/>
  <c r="N28" i="15"/>
  <c r="L28" i="15"/>
  <c r="B28" i="15"/>
  <c r="Z27" i="15"/>
  <c r="X27" i="15"/>
  <c r="N27" i="15"/>
  <c r="L27" i="15"/>
  <c r="B27" i="15"/>
  <c r="Z26" i="15"/>
  <c r="X26" i="15"/>
  <c r="N26" i="15"/>
  <c r="L26" i="15"/>
  <c r="F26" i="15"/>
  <c r="B26" i="15"/>
  <c r="Z25" i="15"/>
  <c r="X25" i="15"/>
  <c r="N25" i="15"/>
  <c r="L25" i="15"/>
  <c r="J25" i="15"/>
  <c r="B25" i="15"/>
  <c r="Z24" i="15"/>
  <c r="X24" i="15"/>
  <c r="N24" i="15"/>
  <c r="L24" i="15"/>
  <c r="B24" i="15"/>
  <c r="Z23" i="15"/>
  <c r="X23" i="15"/>
  <c r="V23" i="15"/>
  <c r="N23" i="15"/>
  <c r="L23" i="15"/>
  <c r="B23" i="15"/>
  <c r="X22" i="15"/>
  <c r="Z22" i="15" s="1"/>
  <c r="N22" i="15"/>
  <c r="L22" i="15"/>
  <c r="B22" i="15"/>
  <c r="V21" i="15"/>
  <c r="T21" i="15"/>
  <c r="X21" i="15" s="1"/>
  <c r="Z21" i="15" s="1"/>
  <c r="P21" i="15"/>
  <c r="J21" i="15"/>
  <c r="H21" i="15"/>
  <c r="D21" i="15"/>
  <c r="L21" i="15" s="1"/>
  <c r="Z19" i="15"/>
  <c r="P19" i="15"/>
  <c r="X19" i="15" s="1"/>
  <c r="N19" i="15"/>
  <c r="L19" i="15"/>
  <c r="D19" i="15"/>
  <c r="B19" i="15"/>
  <c r="Z18" i="15"/>
  <c r="X18" i="15"/>
  <c r="P18" i="15"/>
  <c r="N18" i="15"/>
  <c r="D18" i="15"/>
  <c r="L18" i="15" s="1"/>
  <c r="B18" i="15"/>
  <c r="Z17" i="15"/>
  <c r="X17" i="15"/>
  <c r="P17" i="15"/>
  <c r="N17" i="15"/>
  <c r="D17" i="15"/>
  <c r="L17" i="15" s="1"/>
  <c r="B17" i="15"/>
  <c r="Z16" i="15"/>
  <c r="X16" i="15"/>
  <c r="P16" i="15"/>
  <c r="N16" i="15"/>
  <c r="D16" i="15"/>
  <c r="L16" i="15" s="1"/>
  <c r="B16" i="15"/>
  <c r="Z15" i="15"/>
  <c r="P15" i="15"/>
  <c r="N15" i="15"/>
  <c r="L15" i="15"/>
  <c r="D15" i="15"/>
  <c r="B15" i="15"/>
  <c r="X14" i="15"/>
  <c r="Z14" i="15" s="1"/>
  <c r="P14" i="15"/>
  <c r="N14" i="15"/>
  <c r="L14" i="15"/>
  <c r="D14" i="15"/>
  <c r="B14" i="15"/>
  <c r="P13" i="15"/>
  <c r="X13" i="15" s="1"/>
  <c r="Z13" i="15" s="1"/>
  <c r="L13" i="15"/>
  <c r="N13" i="15" s="1"/>
  <c r="D13" i="15"/>
  <c r="D12" i="15" s="1"/>
  <c r="F102" i="15" s="1"/>
  <c r="B13" i="15"/>
  <c r="T12" i="15"/>
  <c r="L12" i="15"/>
  <c r="H12" i="15"/>
  <c r="J127" i="15" s="1"/>
  <c r="D4" i="15"/>
  <c r="B39" i="14"/>
  <c r="B38" i="14"/>
  <c r="T34" i="14"/>
  <c r="Z34" i="14" s="1"/>
  <c r="P34" i="14"/>
  <c r="H34" i="14"/>
  <c r="N34" i="14" s="1"/>
  <c r="D34" i="14"/>
  <c r="T33" i="14"/>
  <c r="P33" i="14"/>
  <c r="H33" i="14"/>
  <c r="N33" i="14" s="1"/>
  <c r="D33" i="14"/>
  <c r="T29" i="14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18" i="14" s="1"/>
  <c r="P12" i="14"/>
  <c r="R24" i="14" s="1"/>
  <c r="H12" i="14"/>
  <c r="J22" i="14" s="1"/>
  <c r="D12" i="14"/>
  <c r="F18" i="14" s="1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D33" i="13"/>
  <c r="T29" i="13"/>
  <c r="Z29" i="13" s="1"/>
  <c r="P29" i="13"/>
  <c r="H29" i="13"/>
  <c r="D29" i="13"/>
  <c r="T25" i="13"/>
  <c r="Z25" i="13" s="1"/>
  <c r="P25" i="13"/>
  <c r="H25" i="13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D15" i="13"/>
  <c r="T13" i="13"/>
  <c r="Z13" i="13" s="1"/>
  <c r="P13" i="13"/>
  <c r="H13" i="13"/>
  <c r="N13" i="13" s="1"/>
  <c r="D13" i="13"/>
  <c r="B13" i="13"/>
  <c r="T12" i="13"/>
  <c r="V21" i="13" s="1"/>
  <c r="P12" i="13"/>
  <c r="R34" i="13" s="1"/>
  <c r="H12" i="13"/>
  <c r="J36" i="13" s="1"/>
  <c r="D12" i="13"/>
  <c r="F21" i="13" s="1"/>
  <c r="D5" i="13"/>
  <c r="D4" i="13"/>
  <c r="Z160" i="12"/>
  <c r="X160" i="12"/>
  <c r="V160" i="12"/>
  <c r="N160" i="12"/>
  <c r="L160" i="12"/>
  <c r="Z156" i="12"/>
  <c r="P156" i="12"/>
  <c r="X156" i="12" s="1"/>
  <c r="N156" i="12"/>
  <c r="L156" i="12"/>
  <c r="D156" i="12"/>
  <c r="B156" i="12"/>
  <c r="P155" i="12"/>
  <c r="X155" i="12" s="1"/>
  <c r="Z155" i="12" s="1"/>
  <c r="D155" i="12"/>
  <c r="L155" i="12" s="1"/>
  <c r="N155" i="12" s="1"/>
  <c r="B155" i="12"/>
  <c r="Z154" i="12"/>
  <c r="X154" i="12"/>
  <c r="P154" i="12"/>
  <c r="N154" i="12"/>
  <c r="D154" i="12"/>
  <c r="D151" i="12" s="1"/>
  <c r="B154" i="12"/>
  <c r="P153" i="12"/>
  <c r="X153" i="12" s="1"/>
  <c r="Z153" i="12" s="1"/>
  <c r="N153" i="12"/>
  <c r="L153" i="12"/>
  <c r="D153" i="12"/>
  <c r="B153" i="12"/>
  <c r="V152" i="12"/>
  <c r="P152" i="12"/>
  <c r="X152" i="12" s="1"/>
  <c r="Z152" i="12" s="1"/>
  <c r="D152" i="12"/>
  <c r="L152" i="12" s="1"/>
  <c r="N152" i="12" s="1"/>
  <c r="B152" i="12"/>
  <c r="T151" i="12"/>
  <c r="P151" i="12"/>
  <c r="X151" i="12" s="1"/>
  <c r="Z151" i="12" s="1"/>
  <c r="L151" i="12"/>
  <c r="H151" i="12"/>
  <c r="X149" i="12"/>
  <c r="Z149" i="12" s="1"/>
  <c r="N149" i="12"/>
  <c r="L149" i="12"/>
  <c r="B149" i="12"/>
  <c r="V148" i="12"/>
  <c r="T148" i="12"/>
  <c r="X148" i="12" s="1"/>
  <c r="P148" i="12"/>
  <c r="H148" i="12"/>
  <c r="D148" i="12"/>
  <c r="L148" i="12" s="1"/>
  <c r="B148" i="12"/>
  <c r="X147" i="12"/>
  <c r="Z147" i="12" s="1"/>
  <c r="L147" i="12"/>
  <c r="N147" i="12" s="1"/>
  <c r="B147" i="12"/>
  <c r="X146" i="12"/>
  <c r="Z146" i="12" s="1"/>
  <c r="N146" i="12"/>
  <c r="L146" i="12"/>
  <c r="B146" i="12"/>
  <c r="X145" i="12"/>
  <c r="Z145" i="12" s="1"/>
  <c r="N145" i="12"/>
  <c r="L145" i="12"/>
  <c r="B145" i="12"/>
  <c r="V144" i="12"/>
  <c r="T144" i="12"/>
  <c r="P144" i="12"/>
  <c r="X144" i="12" s="1"/>
  <c r="H144" i="12"/>
  <c r="N144" i="12" s="1"/>
  <c r="D144" i="12"/>
  <c r="L144" i="12" s="1"/>
  <c r="B144" i="12"/>
  <c r="X143" i="12"/>
  <c r="Z143" i="12" s="1"/>
  <c r="N143" i="12"/>
  <c r="L143" i="12"/>
  <c r="B143" i="12"/>
  <c r="T142" i="12"/>
  <c r="Z142" i="12" s="1"/>
  <c r="P142" i="12"/>
  <c r="X142" i="12" s="1"/>
  <c r="N142" i="12"/>
  <c r="H142" i="12"/>
  <c r="L142" i="12" s="1"/>
  <c r="D142" i="12"/>
  <c r="B142" i="12"/>
  <c r="Z141" i="12"/>
  <c r="X141" i="12"/>
  <c r="L141" i="12"/>
  <c r="N141" i="12" s="1"/>
  <c r="B141" i="12"/>
  <c r="Z140" i="12"/>
  <c r="X140" i="12"/>
  <c r="N140" i="12"/>
  <c r="L140" i="12"/>
  <c r="B140" i="12"/>
  <c r="T139" i="12"/>
  <c r="P139" i="12"/>
  <c r="X139" i="12" s="1"/>
  <c r="N139" i="12"/>
  <c r="L139" i="12"/>
  <c r="H139" i="12"/>
  <c r="D139" i="12"/>
  <c r="B139" i="12"/>
  <c r="Z138" i="12"/>
  <c r="X138" i="12"/>
  <c r="L138" i="12"/>
  <c r="N138" i="12" s="1"/>
  <c r="B138" i="12"/>
  <c r="Z137" i="12"/>
  <c r="X137" i="12"/>
  <c r="L137" i="12"/>
  <c r="N137" i="12" s="1"/>
  <c r="B137" i="12"/>
  <c r="Z136" i="12"/>
  <c r="X136" i="12"/>
  <c r="N136" i="12"/>
  <c r="L136" i="12"/>
  <c r="B136" i="12"/>
  <c r="Z135" i="12"/>
  <c r="X135" i="12"/>
  <c r="L135" i="12"/>
  <c r="N135" i="12" s="1"/>
  <c r="B135" i="12"/>
  <c r="X134" i="12"/>
  <c r="Z134" i="12" s="1"/>
  <c r="N134" i="12"/>
  <c r="L134" i="12"/>
  <c r="B134" i="12"/>
  <c r="X133" i="12"/>
  <c r="Z133" i="12" s="1"/>
  <c r="N133" i="12"/>
  <c r="L133" i="12"/>
  <c r="B133" i="12"/>
  <c r="Z132" i="12"/>
  <c r="X132" i="12"/>
  <c r="V132" i="12"/>
  <c r="N132" i="12"/>
  <c r="L132" i="12"/>
  <c r="B132" i="12"/>
  <c r="X131" i="12"/>
  <c r="T131" i="12"/>
  <c r="Z131" i="12" s="1"/>
  <c r="P131" i="12"/>
  <c r="H131" i="12"/>
  <c r="D131" i="12"/>
  <c r="L131" i="12" s="1"/>
  <c r="B131" i="12"/>
  <c r="X130" i="12"/>
  <c r="Z130" i="12" s="1"/>
  <c r="N130" i="12"/>
  <c r="L130" i="12"/>
  <c r="B130" i="12"/>
  <c r="X129" i="12"/>
  <c r="Z129" i="12" s="1"/>
  <c r="N129" i="12"/>
  <c r="L129" i="12"/>
  <c r="B129" i="12"/>
  <c r="V128" i="12"/>
  <c r="T128" i="12"/>
  <c r="P128" i="12"/>
  <c r="X128" i="12" s="1"/>
  <c r="H128" i="12"/>
  <c r="D128" i="12"/>
  <c r="L128" i="12" s="1"/>
  <c r="N128" i="12" s="1"/>
  <c r="B128" i="12"/>
  <c r="X127" i="12"/>
  <c r="Z127" i="12" s="1"/>
  <c r="L127" i="12"/>
  <c r="N127" i="12" s="1"/>
  <c r="B127" i="12"/>
  <c r="Z126" i="12"/>
  <c r="X126" i="12"/>
  <c r="N126" i="12"/>
  <c r="L126" i="12"/>
  <c r="B126" i="12"/>
  <c r="X125" i="12"/>
  <c r="Z125" i="12" s="1"/>
  <c r="N125" i="12"/>
  <c r="L125" i="12"/>
  <c r="B125" i="12"/>
  <c r="Z124" i="12"/>
  <c r="X124" i="12"/>
  <c r="V124" i="12"/>
  <c r="N124" i="12"/>
  <c r="L124" i="12"/>
  <c r="B124" i="12"/>
  <c r="X123" i="12"/>
  <c r="T123" i="12"/>
  <c r="P123" i="12"/>
  <c r="H123" i="12"/>
  <c r="D123" i="12"/>
  <c r="L123" i="12" s="1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V120" i="12"/>
  <c r="N120" i="12"/>
  <c r="L120" i="12"/>
  <c r="B120" i="12"/>
  <c r="X119" i="12"/>
  <c r="Z119" i="12" s="1"/>
  <c r="L119" i="12"/>
  <c r="N119" i="12" s="1"/>
  <c r="B119" i="12"/>
  <c r="Z118" i="12"/>
  <c r="X118" i="12"/>
  <c r="T118" i="12"/>
  <c r="P118" i="12"/>
  <c r="H118" i="12"/>
  <c r="D118" i="12"/>
  <c r="L118" i="12" s="1"/>
  <c r="B118" i="12"/>
  <c r="X117" i="12"/>
  <c r="Z117" i="12" s="1"/>
  <c r="N117" i="12"/>
  <c r="L117" i="12"/>
  <c r="B117" i="12"/>
  <c r="Z116" i="12"/>
  <c r="X116" i="12"/>
  <c r="V116" i="12"/>
  <c r="N116" i="12"/>
  <c r="L116" i="12"/>
  <c r="B116" i="12"/>
  <c r="X115" i="12"/>
  <c r="Z115" i="12" s="1"/>
  <c r="L115" i="12"/>
  <c r="N115" i="12" s="1"/>
  <c r="B115" i="12"/>
  <c r="Z114" i="12"/>
  <c r="X114" i="12"/>
  <c r="N114" i="12"/>
  <c r="L114" i="12"/>
  <c r="B114" i="12"/>
  <c r="T113" i="12"/>
  <c r="P113" i="12"/>
  <c r="X113" i="12" s="1"/>
  <c r="Z113" i="12" s="1"/>
  <c r="L113" i="12"/>
  <c r="H113" i="12"/>
  <c r="N113" i="12" s="1"/>
  <c r="D113" i="12"/>
  <c r="B113" i="12"/>
  <c r="Z112" i="12"/>
  <c r="X112" i="12"/>
  <c r="V112" i="12"/>
  <c r="N112" i="12"/>
  <c r="L112" i="12"/>
  <c r="B112" i="12"/>
  <c r="X111" i="12"/>
  <c r="T111" i="12"/>
  <c r="Z111" i="12" s="1"/>
  <c r="P111" i="12"/>
  <c r="H111" i="12"/>
  <c r="D111" i="12"/>
  <c r="B111" i="12"/>
  <c r="Z110" i="12"/>
  <c r="X110" i="12"/>
  <c r="N110" i="12"/>
  <c r="L110" i="12"/>
  <c r="B110" i="12"/>
  <c r="T109" i="12"/>
  <c r="P109" i="12"/>
  <c r="H109" i="12"/>
  <c r="N109" i="12" s="1"/>
  <c r="D109" i="12"/>
  <c r="L109" i="12" s="1"/>
  <c r="B109" i="12"/>
  <c r="X108" i="12"/>
  <c r="Z108" i="12" s="1"/>
  <c r="N108" i="12"/>
  <c r="L108" i="12"/>
  <c r="B108" i="12"/>
  <c r="T107" i="12"/>
  <c r="Z107" i="12" s="1"/>
  <c r="P107" i="12"/>
  <c r="X107" i="12" s="1"/>
  <c r="H107" i="12"/>
  <c r="D107" i="12"/>
  <c r="L107" i="12" s="1"/>
  <c r="N107" i="12" s="1"/>
  <c r="B107" i="12"/>
  <c r="Z106" i="12"/>
  <c r="X106" i="12"/>
  <c r="N106" i="12"/>
  <c r="L106" i="12"/>
  <c r="B106" i="12"/>
  <c r="T105" i="12"/>
  <c r="Z105" i="12" s="1"/>
  <c r="P105" i="12"/>
  <c r="X105" i="12" s="1"/>
  <c r="L105" i="12"/>
  <c r="H105" i="12"/>
  <c r="N105" i="12" s="1"/>
  <c r="D105" i="12"/>
  <c r="B105" i="12"/>
  <c r="Z104" i="12"/>
  <c r="X104" i="12"/>
  <c r="V104" i="12"/>
  <c r="N104" i="12"/>
  <c r="L104" i="12"/>
  <c r="B104" i="12"/>
  <c r="X103" i="12"/>
  <c r="T103" i="12"/>
  <c r="Z103" i="12" s="1"/>
  <c r="P103" i="12"/>
  <c r="H103" i="12"/>
  <c r="D103" i="12"/>
  <c r="B103" i="12"/>
  <c r="Z102" i="12"/>
  <c r="X102" i="12"/>
  <c r="N102" i="12"/>
  <c r="L102" i="12"/>
  <c r="B102" i="12"/>
  <c r="X101" i="12"/>
  <c r="Z101" i="12" s="1"/>
  <c r="N101" i="12"/>
  <c r="L101" i="12"/>
  <c r="B101" i="12"/>
  <c r="V100" i="12"/>
  <c r="T100" i="12"/>
  <c r="P100" i="12"/>
  <c r="X100" i="12" s="1"/>
  <c r="Z100" i="12" s="1"/>
  <c r="H100" i="12"/>
  <c r="D100" i="12"/>
  <c r="L100" i="12" s="1"/>
  <c r="N100" i="12" s="1"/>
  <c r="B100" i="12"/>
  <c r="X99" i="12"/>
  <c r="Z99" i="12" s="1"/>
  <c r="L99" i="12"/>
  <c r="N99" i="12" s="1"/>
  <c r="B99" i="12"/>
  <c r="Z98" i="12"/>
  <c r="X98" i="12"/>
  <c r="N98" i="12"/>
  <c r="L98" i="12"/>
  <c r="B98" i="12"/>
  <c r="T97" i="12"/>
  <c r="P97" i="12"/>
  <c r="H97" i="12"/>
  <c r="N97" i="12" s="1"/>
  <c r="D97" i="12"/>
  <c r="L97" i="12" s="1"/>
  <c r="B97" i="12"/>
  <c r="Z96" i="12"/>
  <c r="X96" i="12"/>
  <c r="N96" i="12"/>
  <c r="L96" i="12"/>
  <c r="B96" i="12"/>
  <c r="T95" i="12"/>
  <c r="P95" i="12"/>
  <c r="X95" i="12" s="1"/>
  <c r="H95" i="12"/>
  <c r="N95" i="12" s="1"/>
  <c r="D95" i="12"/>
  <c r="L95" i="12" s="1"/>
  <c r="B95" i="12"/>
  <c r="Z94" i="12"/>
  <c r="X94" i="12"/>
  <c r="N94" i="12"/>
  <c r="L94" i="12"/>
  <c r="B94" i="12"/>
  <c r="T93" i="12"/>
  <c r="Z93" i="12" s="1"/>
  <c r="P93" i="12"/>
  <c r="X93" i="12" s="1"/>
  <c r="L93" i="12"/>
  <c r="H93" i="12"/>
  <c r="N93" i="12" s="1"/>
  <c r="D93" i="12"/>
  <c r="B93" i="12"/>
  <c r="Z92" i="12"/>
  <c r="X92" i="12"/>
  <c r="V92" i="12"/>
  <c r="N92" i="12"/>
  <c r="L92" i="12"/>
  <c r="B92" i="12"/>
  <c r="X91" i="12"/>
  <c r="T91" i="12"/>
  <c r="Z91" i="12" s="1"/>
  <c r="P91" i="12"/>
  <c r="H91" i="12"/>
  <c r="D91" i="12"/>
  <c r="B91" i="12"/>
  <c r="Z90" i="12"/>
  <c r="X90" i="12"/>
  <c r="N90" i="12"/>
  <c r="L90" i="12"/>
  <c r="B90" i="12"/>
  <c r="Z89" i="12"/>
  <c r="X89" i="12"/>
  <c r="N89" i="12"/>
  <c r="L89" i="12"/>
  <c r="B89" i="12"/>
  <c r="Z88" i="12"/>
  <c r="V88" i="12"/>
  <c r="T88" i="12"/>
  <c r="P88" i="12"/>
  <c r="X88" i="12" s="1"/>
  <c r="N88" i="12"/>
  <c r="H88" i="12"/>
  <c r="D88" i="12"/>
  <c r="L88" i="12" s="1"/>
  <c r="B88" i="12"/>
  <c r="X87" i="12"/>
  <c r="Z87" i="12" s="1"/>
  <c r="L87" i="12"/>
  <c r="N87" i="12" s="1"/>
  <c r="B87" i="12"/>
  <c r="Z86" i="12"/>
  <c r="X86" i="12"/>
  <c r="N86" i="12"/>
  <c r="L86" i="12"/>
  <c r="B86" i="12"/>
  <c r="T85" i="12"/>
  <c r="P85" i="12"/>
  <c r="X85" i="12" s="1"/>
  <c r="H85" i="12"/>
  <c r="N85" i="12" s="1"/>
  <c r="D85" i="12"/>
  <c r="L85" i="12" s="1"/>
  <c r="B85" i="12"/>
  <c r="Z84" i="12"/>
  <c r="X84" i="12"/>
  <c r="N84" i="12"/>
  <c r="L84" i="12"/>
  <c r="J84" i="12"/>
  <c r="B84" i="12"/>
  <c r="T83" i="12"/>
  <c r="Z83" i="12" s="1"/>
  <c r="P83" i="12"/>
  <c r="X83" i="12" s="1"/>
  <c r="L83" i="12"/>
  <c r="H83" i="12"/>
  <c r="N83" i="12" s="1"/>
  <c r="D83" i="12"/>
  <c r="B83" i="12"/>
  <c r="Z82" i="12"/>
  <c r="X82" i="12"/>
  <c r="N82" i="12"/>
  <c r="L82" i="12"/>
  <c r="B82" i="12"/>
  <c r="X81" i="12"/>
  <c r="T81" i="12"/>
  <c r="Z81" i="12" s="1"/>
  <c r="P81" i="12"/>
  <c r="L81" i="12"/>
  <c r="H81" i="12"/>
  <c r="D81" i="12"/>
  <c r="B81" i="12"/>
  <c r="Z80" i="12"/>
  <c r="X80" i="12"/>
  <c r="V80" i="12"/>
  <c r="N80" i="12"/>
  <c r="L80" i="12"/>
  <c r="B80" i="12"/>
  <c r="X79" i="12"/>
  <c r="T79" i="12"/>
  <c r="P79" i="12"/>
  <c r="H79" i="12"/>
  <c r="D79" i="12"/>
  <c r="L79" i="12" s="1"/>
  <c r="B79" i="12"/>
  <c r="Z78" i="12"/>
  <c r="X78" i="12"/>
  <c r="N78" i="12"/>
  <c r="L78" i="12"/>
  <c r="B78" i="12"/>
  <c r="Z77" i="12"/>
  <c r="X77" i="12"/>
  <c r="N77" i="12"/>
  <c r="L77" i="12"/>
  <c r="B77" i="12"/>
  <c r="Z76" i="12"/>
  <c r="X76" i="12"/>
  <c r="V76" i="12"/>
  <c r="N76" i="12"/>
  <c r="L76" i="12"/>
  <c r="B76" i="12"/>
  <c r="X75" i="12"/>
  <c r="Z75" i="12" s="1"/>
  <c r="L75" i="12"/>
  <c r="N75" i="12" s="1"/>
  <c r="B75" i="12"/>
  <c r="Z74" i="12"/>
  <c r="X74" i="12"/>
  <c r="N74" i="12"/>
  <c r="L74" i="12"/>
  <c r="B74" i="12"/>
  <c r="X73" i="12"/>
  <c r="Z73" i="12" s="1"/>
  <c r="L73" i="12"/>
  <c r="N73" i="12" s="1"/>
  <c r="B73" i="12"/>
  <c r="Z72" i="12"/>
  <c r="X72" i="12"/>
  <c r="N72" i="12"/>
  <c r="L72" i="12"/>
  <c r="J72" i="12"/>
  <c r="B72" i="12"/>
  <c r="Z71" i="12"/>
  <c r="X71" i="12"/>
  <c r="N71" i="12"/>
  <c r="L71" i="12"/>
  <c r="B71" i="12"/>
  <c r="Z70" i="12"/>
  <c r="X70" i="12"/>
  <c r="N70" i="12"/>
  <c r="L70" i="12"/>
  <c r="B70" i="12"/>
  <c r="X69" i="12"/>
  <c r="Z69" i="12" s="1"/>
  <c r="L69" i="12"/>
  <c r="N69" i="12" s="1"/>
  <c r="B69" i="12"/>
  <c r="V68" i="12"/>
  <c r="T68" i="12"/>
  <c r="P68" i="12"/>
  <c r="X68" i="12" s="1"/>
  <c r="Z68" i="12" s="1"/>
  <c r="H68" i="12"/>
  <c r="D68" i="12"/>
  <c r="L68" i="12" s="1"/>
  <c r="N68" i="12" s="1"/>
  <c r="B68" i="12"/>
  <c r="X67" i="12"/>
  <c r="Z67" i="12" s="1"/>
  <c r="L67" i="12"/>
  <c r="N67" i="12" s="1"/>
  <c r="B67" i="12"/>
  <c r="Z66" i="12"/>
  <c r="X66" i="12"/>
  <c r="N66" i="12"/>
  <c r="L66" i="12"/>
  <c r="B66" i="12"/>
  <c r="X65" i="12"/>
  <c r="Z65" i="12" s="1"/>
  <c r="L65" i="12"/>
  <c r="N65" i="12" s="1"/>
  <c r="B65" i="12"/>
  <c r="Z64" i="12"/>
  <c r="X64" i="12"/>
  <c r="V64" i="12"/>
  <c r="N64" i="12"/>
  <c r="L64" i="12"/>
  <c r="B64" i="12"/>
  <c r="Z63" i="12"/>
  <c r="X63" i="12"/>
  <c r="N63" i="12"/>
  <c r="L63" i="12"/>
  <c r="B63" i="12"/>
  <c r="Z62" i="12"/>
  <c r="X62" i="12"/>
  <c r="N62" i="12"/>
  <c r="L62" i="12"/>
  <c r="B62" i="12"/>
  <c r="X61" i="12"/>
  <c r="Z61" i="12" s="1"/>
  <c r="L61" i="12"/>
  <c r="N61" i="12" s="1"/>
  <c r="B61" i="12"/>
  <c r="Z60" i="12"/>
  <c r="X60" i="12"/>
  <c r="N60" i="12"/>
  <c r="L60" i="12"/>
  <c r="J60" i="12"/>
  <c r="B60" i="12"/>
  <c r="X59" i="12"/>
  <c r="Z59" i="12" s="1"/>
  <c r="L59" i="12"/>
  <c r="N59" i="12" s="1"/>
  <c r="B59" i="12"/>
  <c r="Z58" i="12"/>
  <c r="X58" i="12"/>
  <c r="N58" i="12"/>
  <c r="L58" i="12"/>
  <c r="B58" i="12"/>
  <c r="T57" i="12"/>
  <c r="P57" i="12"/>
  <c r="H57" i="12"/>
  <c r="N57" i="12" s="1"/>
  <c r="D57" i="12"/>
  <c r="L57" i="12" s="1"/>
  <c r="B57" i="12"/>
  <c r="T56" i="12"/>
  <c r="P56" i="12"/>
  <c r="X56" i="12" s="1"/>
  <c r="H56" i="12"/>
  <c r="D56" i="12"/>
  <c r="L56" i="12" s="1"/>
  <c r="N56" i="12" s="1"/>
  <c r="Z52" i="12"/>
  <c r="X52" i="12"/>
  <c r="N52" i="12"/>
  <c r="L52" i="12"/>
  <c r="J52" i="12"/>
  <c r="B52" i="12"/>
  <c r="Z51" i="12"/>
  <c r="X51" i="12"/>
  <c r="V51" i="12"/>
  <c r="N51" i="12"/>
  <c r="L51" i="12"/>
  <c r="B51" i="12"/>
  <c r="Z50" i="12"/>
  <c r="X50" i="12"/>
  <c r="N50" i="12"/>
  <c r="L50" i="12"/>
  <c r="B50" i="12"/>
  <c r="Z49" i="12"/>
  <c r="X49" i="12"/>
  <c r="N49" i="12"/>
  <c r="L49" i="12"/>
  <c r="B49" i="12"/>
  <c r="Z48" i="12"/>
  <c r="X48" i="12"/>
  <c r="V48" i="12"/>
  <c r="N48" i="12"/>
  <c r="L48" i="12"/>
  <c r="B48" i="12"/>
  <c r="Z47" i="12"/>
  <c r="X47" i="12"/>
  <c r="N47" i="12"/>
  <c r="L47" i="12"/>
  <c r="B47" i="12"/>
  <c r="Z46" i="12"/>
  <c r="X46" i="12"/>
  <c r="N46" i="12"/>
  <c r="L46" i="12"/>
  <c r="B46" i="12"/>
  <c r="Z45" i="12"/>
  <c r="X45" i="12"/>
  <c r="N45" i="12"/>
  <c r="L45" i="12"/>
  <c r="B45" i="12"/>
  <c r="Z44" i="12"/>
  <c r="X44" i="12"/>
  <c r="N44" i="12"/>
  <c r="L44" i="12"/>
  <c r="B44" i="12"/>
  <c r="Z43" i="12"/>
  <c r="X43" i="12"/>
  <c r="V43" i="12"/>
  <c r="N43" i="12"/>
  <c r="L43" i="12"/>
  <c r="B43" i="12"/>
  <c r="Z42" i="12"/>
  <c r="X42" i="12"/>
  <c r="N42" i="12"/>
  <c r="L42" i="12"/>
  <c r="B42" i="12"/>
  <c r="Z41" i="12"/>
  <c r="X41" i="12"/>
  <c r="N41" i="12"/>
  <c r="L41" i="12"/>
  <c r="B41" i="12"/>
  <c r="Z40" i="12"/>
  <c r="X40" i="12"/>
  <c r="V40" i="12"/>
  <c r="N40" i="12"/>
  <c r="L40" i="12"/>
  <c r="B40" i="12"/>
  <c r="Z39" i="12"/>
  <c r="X39" i="12"/>
  <c r="N39" i="12"/>
  <c r="L39" i="12"/>
  <c r="B39" i="12"/>
  <c r="Z38" i="12"/>
  <c r="X38" i="12"/>
  <c r="N38" i="12"/>
  <c r="L38" i="12"/>
  <c r="B38" i="12"/>
  <c r="Z37" i="12"/>
  <c r="X37" i="12"/>
  <c r="N37" i="12"/>
  <c r="L37" i="12"/>
  <c r="B37" i="12"/>
  <c r="Z36" i="12"/>
  <c r="X36" i="12"/>
  <c r="N36" i="12"/>
  <c r="L36" i="12"/>
  <c r="J36" i="12"/>
  <c r="B36" i="12"/>
  <c r="Z35" i="12"/>
  <c r="X35" i="12"/>
  <c r="V35" i="12"/>
  <c r="N35" i="12"/>
  <c r="L35" i="12"/>
  <c r="B35" i="12"/>
  <c r="Z34" i="12"/>
  <c r="X34" i="12"/>
  <c r="N34" i="12"/>
  <c r="L34" i="12"/>
  <c r="B34" i="12"/>
  <c r="Z33" i="12"/>
  <c r="X33" i="12"/>
  <c r="N33" i="12"/>
  <c r="L33" i="12"/>
  <c r="B33" i="12"/>
  <c r="Z32" i="12"/>
  <c r="X32" i="12"/>
  <c r="V32" i="12"/>
  <c r="N32" i="12"/>
  <c r="L32" i="12"/>
  <c r="B32" i="12"/>
  <c r="Z31" i="12"/>
  <c r="X31" i="12"/>
  <c r="N31" i="12"/>
  <c r="L31" i="12"/>
  <c r="B31" i="12"/>
  <c r="Z30" i="12"/>
  <c r="X30" i="12"/>
  <c r="N30" i="12"/>
  <c r="L30" i="12"/>
  <c r="B30" i="12"/>
  <c r="Z29" i="12"/>
  <c r="X29" i="12"/>
  <c r="N29" i="12"/>
  <c r="L29" i="12"/>
  <c r="B29" i="12"/>
  <c r="Z28" i="12"/>
  <c r="X28" i="12"/>
  <c r="N28" i="12"/>
  <c r="L28" i="12"/>
  <c r="J28" i="12"/>
  <c r="B28" i="12"/>
  <c r="Z27" i="12"/>
  <c r="X27" i="12"/>
  <c r="V27" i="12"/>
  <c r="N27" i="12"/>
  <c r="L27" i="12"/>
  <c r="B27" i="12"/>
  <c r="Z26" i="12"/>
  <c r="X26" i="12"/>
  <c r="N26" i="12"/>
  <c r="L26" i="12"/>
  <c r="B26" i="12"/>
  <c r="Z25" i="12"/>
  <c r="X25" i="12"/>
  <c r="N25" i="12"/>
  <c r="L25" i="12"/>
  <c r="B25" i="12"/>
  <c r="X24" i="12"/>
  <c r="Z24" i="12" s="1"/>
  <c r="V24" i="12"/>
  <c r="L24" i="12"/>
  <c r="N24" i="12" s="1"/>
  <c r="B24" i="12"/>
  <c r="X23" i="12"/>
  <c r="T23" i="12"/>
  <c r="Z23" i="12" s="1"/>
  <c r="P23" i="12"/>
  <c r="H23" i="12"/>
  <c r="D23" i="12"/>
  <c r="L23" i="12" s="1"/>
  <c r="Z21" i="12"/>
  <c r="P21" i="12"/>
  <c r="X21" i="12" s="1"/>
  <c r="N21" i="12"/>
  <c r="D21" i="12"/>
  <c r="L21" i="12" s="1"/>
  <c r="B21" i="12"/>
  <c r="Z20" i="12"/>
  <c r="X20" i="12"/>
  <c r="P20" i="12"/>
  <c r="N20" i="12"/>
  <c r="D20" i="12"/>
  <c r="L20" i="12" s="1"/>
  <c r="B20" i="12"/>
  <c r="Z19" i="12"/>
  <c r="P19" i="12"/>
  <c r="X19" i="12" s="1"/>
  <c r="N19" i="12"/>
  <c r="L19" i="12"/>
  <c r="D19" i="12"/>
  <c r="B19" i="12"/>
  <c r="Z18" i="12"/>
  <c r="P18" i="12"/>
  <c r="X18" i="12" s="1"/>
  <c r="N18" i="12"/>
  <c r="D18" i="12"/>
  <c r="L18" i="12" s="1"/>
  <c r="B18" i="12"/>
  <c r="Z17" i="12"/>
  <c r="X17" i="12"/>
  <c r="P17" i="12"/>
  <c r="N17" i="12"/>
  <c r="L17" i="12"/>
  <c r="D17" i="12"/>
  <c r="B17" i="12"/>
  <c r="Z16" i="12"/>
  <c r="P16" i="12"/>
  <c r="N16" i="12"/>
  <c r="D16" i="12"/>
  <c r="L16" i="12" s="1"/>
  <c r="B16" i="12"/>
  <c r="P15" i="12"/>
  <c r="X15" i="12" s="1"/>
  <c r="Z15" i="12" s="1"/>
  <c r="D15" i="12"/>
  <c r="L15" i="12" s="1"/>
  <c r="N15" i="12" s="1"/>
  <c r="B15" i="12"/>
  <c r="Z14" i="12"/>
  <c r="X14" i="12"/>
  <c r="P14" i="12"/>
  <c r="N14" i="12"/>
  <c r="L14" i="12"/>
  <c r="D14" i="12"/>
  <c r="B14" i="12"/>
  <c r="P13" i="12"/>
  <c r="X13" i="12" s="1"/>
  <c r="Z13" i="12" s="1"/>
  <c r="D13" i="12"/>
  <c r="B13" i="12"/>
  <c r="T12" i="12"/>
  <c r="V155" i="12" s="1"/>
  <c r="H12" i="12"/>
  <c r="J136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36" i="11" s="1"/>
  <c r="P12" i="11"/>
  <c r="R21" i="11" s="1"/>
  <c r="H12" i="11"/>
  <c r="J20" i="11" s="1"/>
  <c r="D12" i="1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L15" i="10" s="1"/>
  <c r="T13" i="10"/>
  <c r="Z13" i="10" s="1"/>
  <c r="P13" i="10"/>
  <c r="H13" i="10"/>
  <c r="N13" i="10" s="1"/>
  <c r="D13" i="10"/>
  <c r="B13" i="10"/>
  <c r="T12" i="10"/>
  <c r="V18" i="10" s="1"/>
  <c r="P12" i="10"/>
  <c r="R24" i="10" s="1"/>
  <c r="H12" i="10"/>
  <c r="J22" i="10" s="1"/>
  <c r="D12" i="10"/>
  <c r="F18" i="10" s="1"/>
  <c r="D5" i="10"/>
  <c r="D4" i="10"/>
  <c r="Z99" i="9"/>
  <c r="X99" i="9"/>
  <c r="R99" i="9"/>
  <c r="N99" i="9"/>
  <c r="L99" i="9"/>
  <c r="X95" i="9"/>
  <c r="T95" i="9"/>
  <c r="Z95" i="9" s="1"/>
  <c r="P95" i="9"/>
  <c r="L95" i="9"/>
  <c r="H95" i="9"/>
  <c r="N95" i="9" s="1"/>
  <c r="D95" i="9"/>
  <c r="Z93" i="9"/>
  <c r="X93" i="9"/>
  <c r="R93" i="9"/>
  <c r="L93" i="9"/>
  <c r="N93" i="9" s="1"/>
  <c r="B93" i="9"/>
  <c r="Z92" i="9"/>
  <c r="X92" i="9"/>
  <c r="V92" i="9"/>
  <c r="N92" i="9"/>
  <c r="L92" i="9"/>
  <c r="B92" i="9"/>
  <c r="X91" i="9"/>
  <c r="T91" i="9"/>
  <c r="Z91" i="9" s="1"/>
  <c r="P91" i="9"/>
  <c r="H91" i="9"/>
  <c r="D91" i="9"/>
  <c r="B91" i="9"/>
  <c r="X90" i="9"/>
  <c r="Z90" i="9" s="1"/>
  <c r="N90" i="9"/>
  <c r="L90" i="9"/>
  <c r="B90" i="9"/>
  <c r="T89" i="9"/>
  <c r="P89" i="9"/>
  <c r="X89" i="9" s="1"/>
  <c r="H89" i="9"/>
  <c r="D89" i="9"/>
  <c r="L89" i="9" s="1"/>
  <c r="N89" i="9" s="1"/>
  <c r="B89" i="9"/>
  <c r="Z88" i="9"/>
  <c r="X88" i="9"/>
  <c r="N88" i="9"/>
  <c r="L88" i="9"/>
  <c r="J88" i="9"/>
  <c r="B88" i="9"/>
  <c r="Z87" i="9"/>
  <c r="X87" i="9"/>
  <c r="L87" i="9"/>
  <c r="N87" i="9" s="1"/>
  <c r="B87" i="9"/>
  <c r="X86" i="9"/>
  <c r="Z86" i="9" s="1"/>
  <c r="T86" i="9"/>
  <c r="R86" i="9"/>
  <c r="P86" i="9"/>
  <c r="H86" i="9"/>
  <c r="D86" i="9"/>
  <c r="B86" i="9"/>
  <c r="Z85" i="9"/>
  <c r="X85" i="9"/>
  <c r="N85" i="9"/>
  <c r="L85" i="9"/>
  <c r="F85" i="9"/>
  <c r="B85" i="9"/>
  <c r="Z84" i="9"/>
  <c r="X84" i="9"/>
  <c r="N84" i="9"/>
  <c r="L84" i="9"/>
  <c r="J84" i="9"/>
  <c r="B84" i="9"/>
  <c r="Z83" i="9"/>
  <c r="X83" i="9"/>
  <c r="L83" i="9"/>
  <c r="N83" i="9" s="1"/>
  <c r="B83" i="9"/>
  <c r="X82" i="9"/>
  <c r="Z82" i="9" s="1"/>
  <c r="N82" i="9"/>
  <c r="L82" i="9"/>
  <c r="B82" i="9"/>
  <c r="Z81" i="9"/>
  <c r="X81" i="9"/>
  <c r="R81" i="9"/>
  <c r="N81" i="9"/>
  <c r="L81" i="9"/>
  <c r="B81" i="9"/>
  <c r="Z80" i="9"/>
  <c r="X80" i="9"/>
  <c r="V80" i="9"/>
  <c r="N80" i="9"/>
  <c r="L80" i="9"/>
  <c r="B80" i="9"/>
  <c r="X79" i="9"/>
  <c r="T79" i="9"/>
  <c r="Z79" i="9" s="1"/>
  <c r="P79" i="9"/>
  <c r="H79" i="9"/>
  <c r="D79" i="9"/>
  <c r="B79" i="9"/>
  <c r="X78" i="9"/>
  <c r="Z78" i="9" s="1"/>
  <c r="N78" i="9"/>
  <c r="L78" i="9"/>
  <c r="B78" i="9"/>
  <c r="Z77" i="9"/>
  <c r="X77" i="9"/>
  <c r="R77" i="9"/>
  <c r="N77" i="9"/>
  <c r="L77" i="9"/>
  <c r="B77" i="9"/>
  <c r="V76" i="9"/>
  <c r="T76" i="9"/>
  <c r="P76" i="9"/>
  <c r="X76" i="9" s="1"/>
  <c r="L76" i="9"/>
  <c r="N76" i="9" s="1"/>
  <c r="H76" i="9"/>
  <c r="F76" i="9"/>
  <c r="D76" i="9"/>
  <c r="B76" i="9"/>
  <c r="Z75" i="9"/>
  <c r="X75" i="9"/>
  <c r="L75" i="9"/>
  <c r="N75" i="9" s="1"/>
  <c r="B75" i="9"/>
  <c r="X74" i="9"/>
  <c r="Z74" i="9" s="1"/>
  <c r="N74" i="9"/>
  <c r="L74" i="9"/>
  <c r="B74" i="9"/>
  <c r="T73" i="9"/>
  <c r="P73" i="9"/>
  <c r="X73" i="9" s="1"/>
  <c r="H73" i="9"/>
  <c r="D73" i="9"/>
  <c r="L73" i="9" s="1"/>
  <c r="N73" i="9" s="1"/>
  <c r="B73" i="9"/>
  <c r="Z72" i="9"/>
  <c r="X72" i="9"/>
  <c r="N72" i="9"/>
  <c r="L72" i="9"/>
  <c r="J72" i="9"/>
  <c r="B72" i="9"/>
  <c r="Z71" i="9"/>
  <c r="X71" i="9"/>
  <c r="L71" i="9"/>
  <c r="N71" i="9" s="1"/>
  <c r="B71" i="9"/>
  <c r="X70" i="9"/>
  <c r="Z70" i="9" s="1"/>
  <c r="N70" i="9"/>
  <c r="L70" i="9"/>
  <c r="B70" i="9"/>
  <c r="Z69" i="9"/>
  <c r="X69" i="9"/>
  <c r="R69" i="9"/>
  <c r="L69" i="9"/>
  <c r="N69" i="9" s="1"/>
  <c r="B69" i="9"/>
  <c r="V68" i="9"/>
  <c r="T68" i="9"/>
  <c r="Z68" i="9" s="1"/>
  <c r="P68" i="9"/>
  <c r="X68" i="9" s="1"/>
  <c r="L68" i="9"/>
  <c r="N68" i="9" s="1"/>
  <c r="H68" i="9"/>
  <c r="F68" i="9"/>
  <c r="D68" i="9"/>
  <c r="B68" i="9"/>
  <c r="Z67" i="9"/>
  <c r="X67" i="9"/>
  <c r="L67" i="9"/>
  <c r="N67" i="9" s="1"/>
  <c r="B67" i="9"/>
  <c r="X66" i="9"/>
  <c r="Z66" i="9" s="1"/>
  <c r="N66" i="9"/>
  <c r="L66" i="9"/>
  <c r="B66" i="9"/>
  <c r="Z65" i="9"/>
  <c r="X65" i="9"/>
  <c r="R65" i="9"/>
  <c r="N65" i="9"/>
  <c r="L65" i="9"/>
  <c r="B65" i="9"/>
  <c r="X64" i="9"/>
  <c r="Z64" i="9" s="1"/>
  <c r="V64" i="9"/>
  <c r="N64" i="9"/>
  <c r="L64" i="9"/>
  <c r="B64" i="9"/>
  <c r="X63" i="9"/>
  <c r="T63" i="9"/>
  <c r="P63" i="9"/>
  <c r="H63" i="9"/>
  <c r="D63" i="9"/>
  <c r="B63" i="9"/>
  <c r="X62" i="9"/>
  <c r="Z62" i="9" s="1"/>
  <c r="N62" i="9"/>
  <c r="L62" i="9"/>
  <c r="B62" i="9"/>
  <c r="T61" i="9"/>
  <c r="P61" i="9"/>
  <c r="H61" i="9"/>
  <c r="D61" i="9"/>
  <c r="L61" i="9" s="1"/>
  <c r="N61" i="9" s="1"/>
  <c r="B61" i="9"/>
  <c r="Z60" i="9"/>
  <c r="X60" i="9"/>
  <c r="N60" i="9"/>
  <c r="L60" i="9"/>
  <c r="J60" i="9"/>
  <c r="B60" i="9"/>
  <c r="T59" i="9"/>
  <c r="P59" i="9"/>
  <c r="X59" i="9" s="1"/>
  <c r="Z59" i="9" s="1"/>
  <c r="L59" i="9"/>
  <c r="H59" i="9"/>
  <c r="N59" i="9" s="1"/>
  <c r="D59" i="9"/>
  <c r="B59" i="9"/>
  <c r="Z58" i="9"/>
  <c r="X58" i="9"/>
  <c r="L58" i="9"/>
  <c r="N58" i="9" s="1"/>
  <c r="B58" i="9"/>
  <c r="X57" i="9"/>
  <c r="T57" i="9"/>
  <c r="Z57" i="9" s="1"/>
  <c r="P57" i="9"/>
  <c r="L57" i="9"/>
  <c r="H57" i="9"/>
  <c r="D57" i="9"/>
  <c r="B57" i="9"/>
  <c r="Z56" i="9"/>
  <c r="X56" i="9"/>
  <c r="V56" i="9"/>
  <c r="N56" i="9"/>
  <c r="L56" i="9"/>
  <c r="B56" i="9"/>
  <c r="X55" i="9"/>
  <c r="T55" i="9"/>
  <c r="P55" i="9"/>
  <c r="H55" i="9"/>
  <c r="D55" i="9"/>
  <c r="L55" i="9" s="1"/>
  <c r="B55" i="9"/>
  <c r="X54" i="9"/>
  <c r="Z54" i="9" s="1"/>
  <c r="N54" i="9"/>
  <c r="L54" i="9"/>
  <c r="B54" i="9"/>
  <c r="T53" i="9"/>
  <c r="P53" i="9"/>
  <c r="H53" i="9"/>
  <c r="D53" i="9"/>
  <c r="L53" i="9" s="1"/>
  <c r="N53" i="9" s="1"/>
  <c r="B53" i="9"/>
  <c r="Z52" i="9"/>
  <c r="X52" i="9"/>
  <c r="R52" i="9"/>
  <c r="N52" i="9"/>
  <c r="L52" i="9"/>
  <c r="J52" i="9"/>
  <c r="B52" i="9"/>
  <c r="V51" i="9"/>
  <c r="T51" i="9"/>
  <c r="P51" i="9"/>
  <c r="X51" i="9" s="1"/>
  <c r="Z51" i="9" s="1"/>
  <c r="L51" i="9"/>
  <c r="H51" i="9"/>
  <c r="N51" i="9" s="1"/>
  <c r="D51" i="9"/>
  <c r="B51" i="9"/>
  <c r="Z50" i="9"/>
  <c r="X50" i="9"/>
  <c r="L50" i="9"/>
  <c r="N50" i="9" s="1"/>
  <c r="B50" i="9"/>
  <c r="X49" i="9"/>
  <c r="Z49" i="9" s="1"/>
  <c r="N49" i="9"/>
  <c r="L49" i="9"/>
  <c r="F49" i="9"/>
  <c r="B49" i="9"/>
  <c r="T48" i="9"/>
  <c r="P48" i="9"/>
  <c r="H48" i="9"/>
  <c r="D48" i="9"/>
  <c r="L48" i="9" s="1"/>
  <c r="N48" i="9" s="1"/>
  <c r="B48" i="9"/>
  <c r="X47" i="9"/>
  <c r="Z47" i="9" s="1"/>
  <c r="N47" i="9"/>
  <c r="L47" i="9"/>
  <c r="B47" i="9"/>
  <c r="T46" i="9"/>
  <c r="P46" i="9"/>
  <c r="X46" i="9" s="1"/>
  <c r="Z46" i="9" s="1"/>
  <c r="J46" i="9"/>
  <c r="H46" i="9"/>
  <c r="N46" i="9" s="1"/>
  <c r="D46" i="9"/>
  <c r="L46" i="9" s="1"/>
  <c r="B46" i="9"/>
  <c r="Z45" i="9"/>
  <c r="X45" i="9"/>
  <c r="R45" i="9"/>
  <c r="L45" i="9"/>
  <c r="N45" i="9" s="1"/>
  <c r="B45" i="9"/>
  <c r="V44" i="9"/>
  <c r="T44" i="9"/>
  <c r="P44" i="9"/>
  <c r="X44" i="9" s="1"/>
  <c r="L44" i="9"/>
  <c r="N44" i="9" s="1"/>
  <c r="H44" i="9"/>
  <c r="F44" i="9"/>
  <c r="D44" i="9"/>
  <c r="B44" i="9"/>
  <c r="Z43" i="9"/>
  <c r="X43" i="9"/>
  <c r="V43" i="9"/>
  <c r="L43" i="9"/>
  <c r="N43" i="9" s="1"/>
  <c r="B43" i="9"/>
  <c r="X42" i="9"/>
  <c r="Z42" i="9" s="1"/>
  <c r="T42" i="9"/>
  <c r="R42" i="9"/>
  <c r="P42" i="9"/>
  <c r="H42" i="9"/>
  <c r="D42" i="9"/>
  <c r="B42" i="9"/>
  <c r="Z41" i="9"/>
  <c r="X41" i="9"/>
  <c r="N41" i="9"/>
  <c r="L41" i="9"/>
  <c r="F41" i="9"/>
  <c r="B41" i="9"/>
  <c r="Z40" i="9"/>
  <c r="X40" i="9"/>
  <c r="R40" i="9"/>
  <c r="N40" i="9"/>
  <c r="L40" i="9"/>
  <c r="J40" i="9"/>
  <c r="B40" i="9"/>
  <c r="Z39" i="9"/>
  <c r="X39" i="9"/>
  <c r="V39" i="9"/>
  <c r="L39" i="9"/>
  <c r="N39" i="9" s="1"/>
  <c r="B39" i="9"/>
  <c r="X38" i="9"/>
  <c r="Z38" i="9" s="1"/>
  <c r="N38" i="9"/>
  <c r="L38" i="9"/>
  <c r="B38" i="9"/>
  <c r="Z37" i="9"/>
  <c r="X37" i="9"/>
  <c r="R37" i="9"/>
  <c r="N37" i="9"/>
  <c r="L37" i="9"/>
  <c r="B37" i="9"/>
  <c r="Z36" i="9"/>
  <c r="X36" i="9"/>
  <c r="V36" i="9"/>
  <c r="N36" i="9"/>
  <c r="L36" i="9"/>
  <c r="B36" i="9"/>
  <c r="X35" i="9"/>
  <c r="Z35" i="9" s="1"/>
  <c r="N35" i="9"/>
  <c r="L35" i="9"/>
  <c r="J35" i="9"/>
  <c r="B35" i="9"/>
  <c r="Z34" i="9"/>
  <c r="X34" i="9"/>
  <c r="N34" i="9"/>
  <c r="L34" i="9"/>
  <c r="B34" i="9"/>
  <c r="X33" i="9"/>
  <c r="Z33" i="9" s="1"/>
  <c r="N33" i="9"/>
  <c r="L33" i="9"/>
  <c r="F33" i="9"/>
  <c r="B33" i="9"/>
  <c r="Z32" i="9"/>
  <c r="X32" i="9"/>
  <c r="R32" i="9"/>
  <c r="N32" i="9"/>
  <c r="L32" i="9"/>
  <c r="J32" i="9"/>
  <c r="B32" i="9"/>
  <c r="V31" i="9"/>
  <c r="T31" i="9"/>
  <c r="P31" i="9"/>
  <c r="X31" i="9" s="1"/>
  <c r="Z31" i="9" s="1"/>
  <c r="L31" i="9"/>
  <c r="H31" i="9"/>
  <c r="N31" i="9" s="1"/>
  <c r="D31" i="9"/>
  <c r="B31" i="9"/>
  <c r="Z30" i="9"/>
  <c r="X30" i="9"/>
  <c r="V30" i="9"/>
  <c r="L30" i="9"/>
  <c r="N30" i="9" s="1"/>
  <c r="B30" i="9"/>
  <c r="X29" i="9"/>
  <c r="Z29" i="9" s="1"/>
  <c r="N29" i="9"/>
  <c r="L29" i="9"/>
  <c r="F29" i="9"/>
  <c r="B29" i="9"/>
  <c r="Z28" i="9"/>
  <c r="X28" i="9"/>
  <c r="R28" i="9"/>
  <c r="N28" i="9"/>
  <c r="L28" i="9"/>
  <c r="J28" i="9"/>
  <c r="B28" i="9"/>
  <c r="Z27" i="9"/>
  <c r="X27" i="9"/>
  <c r="V27" i="9"/>
  <c r="L27" i="9"/>
  <c r="N27" i="9" s="1"/>
  <c r="B27" i="9"/>
  <c r="Z26" i="9"/>
  <c r="X26" i="9"/>
  <c r="N26" i="9"/>
  <c r="L26" i="9"/>
  <c r="B26" i="9"/>
  <c r="Z25" i="9"/>
  <c r="X25" i="9"/>
  <c r="R25" i="9"/>
  <c r="L25" i="9"/>
  <c r="N25" i="9" s="1"/>
  <c r="B25" i="9"/>
  <c r="Z24" i="9"/>
  <c r="X24" i="9"/>
  <c r="V24" i="9"/>
  <c r="N24" i="9"/>
  <c r="L24" i="9"/>
  <c r="F24" i="9"/>
  <c r="B24" i="9"/>
  <c r="X23" i="9"/>
  <c r="Z23" i="9" s="1"/>
  <c r="R23" i="9"/>
  <c r="N23" i="9"/>
  <c r="L23" i="9"/>
  <c r="J23" i="9"/>
  <c r="B23" i="9"/>
  <c r="Z22" i="9"/>
  <c r="X22" i="9"/>
  <c r="V22" i="9"/>
  <c r="R22" i="9"/>
  <c r="L22" i="9"/>
  <c r="N22" i="9" s="1"/>
  <c r="B22" i="9"/>
  <c r="X21" i="9"/>
  <c r="Z21" i="9" s="1"/>
  <c r="V21" i="9"/>
  <c r="R21" i="9"/>
  <c r="N21" i="9"/>
  <c r="L21" i="9"/>
  <c r="F21" i="9"/>
  <c r="B21" i="9"/>
  <c r="Z20" i="9"/>
  <c r="X20" i="9"/>
  <c r="V20" i="9"/>
  <c r="R20" i="9"/>
  <c r="N20" i="9"/>
  <c r="L20" i="9"/>
  <c r="J20" i="9"/>
  <c r="B20" i="9"/>
  <c r="V19" i="9"/>
  <c r="T19" i="9"/>
  <c r="P19" i="9"/>
  <c r="X19" i="9" s="1"/>
  <c r="Z19" i="9" s="1"/>
  <c r="L19" i="9"/>
  <c r="H19" i="9"/>
  <c r="N19" i="9" s="1"/>
  <c r="F19" i="9"/>
  <c r="D19" i="9"/>
  <c r="B19" i="9"/>
  <c r="V18" i="9"/>
  <c r="T18" i="9"/>
  <c r="R18" i="9"/>
  <c r="P18" i="9"/>
  <c r="X18" i="9" s="1"/>
  <c r="Z18" i="9" s="1"/>
  <c r="J18" i="9"/>
  <c r="H18" i="9"/>
  <c r="N18" i="9" s="1"/>
  <c r="D18" i="9"/>
  <c r="L18" i="9" s="1"/>
  <c r="R16" i="9"/>
  <c r="H16" i="9"/>
  <c r="Z14" i="9"/>
  <c r="V14" i="9"/>
  <c r="T14" i="9"/>
  <c r="R14" i="9"/>
  <c r="P14" i="9"/>
  <c r="J14" i="9"/>
  <c r="H14" i="9"/>
  <c r="N14" i="9" s="1"/>
  <c r="D14" i="9"/>
  <c r="L14" i="9" s="1"/>
  <c r="Z12" i="9"/>
  <c r="X12" i="9"/>
  <c r="T12" i="9"/>
  <c r="V104" i="9" s="1"/>
  <c r="P12" i="9"/>
  <c r="R90" i="9" s="1"/>
  <c r="N12" i="9"/>
  <c r="H12" i="9"/>
  <c r="J91" i="9" s="1"/>
  <c r="D12" i="9"/>
  <c r="F104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L21" i="8" s="1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P13" i="8"/>
  <c r="H13" i="8"/>
  <c r="N13" i="8" s="1"/>
  <c r="D13" i="8"/>
  <c r="B13" i="8"/>
  <c r="T12" i="8"/>
  <c r="V21" i="8" s="1"/>
  <c r="P12" i="8"/>
  <c r="R34" i="8" s="1"/>
  <c r="H12" i="8"/>
  <c r="J36" i="8" s="1"/>
  <c r="D12" i="8"/>
  <c r="F18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D20" i="7"/>
  <c r="T16" i="7"/>
  <c r="Z16" i="7" s="1"/>
  <c r="P16" i="7"/>
  <c r="H16" i="7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1" i="7" s="1"/>
  <c r="P12" i="7"/>
  <c r="R21" i="7" s="1"/>
  <c r="H12" i="7"/>
  <c r="J22" i="7" s="1"/>
  <c r="D12" i="7"/>
  <c r="D5" i="7"/>
  <c r="D4" i="7"/>
  <c r="V31" i="6"/>
  <c r="R31" i="6"/>
  <c r="F31" i="6"/>
  <c r="X29" i="6"/>
  <c r="Z29" i="6" s="1"/>
  <c r="T29" i="6"/>
  <c r="R29" i="6"/>
  <c r="P29" i="6"/>
  <c r="H29" i="6"/>
  <c r="L29" i="6" s="1"/>
  <c r="N29" i="6" s="1"/>
  <c r="D29" i="6"/>
  <c r="V28" i="6"/>
  <c r="T28" i="6"/>
  <c r="R28" i="6"/>
  <c r="P28" i="6"/>
  <c r="X28" i="6" s="1"/>
  <c r="H28" i="6"/>
  <c r="F28" i="6"/>
  <c r="D28" i="6"/>
  <c r="L28" i="6" s="1"/>
  <c r="R26" i="6"/>
  <c r="Z24" i="6"/>
  <c r="X24" i="6"/>
  <c r="V24" i="6"/>
  <c r="R24" i="6"/>
  <c r="N24" i="6"/>
  <c r="L24" i="6"/>
  <c r="V22" i="6"/>
  <c r="R22" i="6"/>
  <c r="F22" i="6"/>
  <c r="Z20" i="6"/>
  <c r="X20" i="6"/>
  <c r="T20" i="6"/>
  <c r="R20" i="6"/>
  <c r="P20" i="6"/>
  <c r="N20" i="6"/>
  <c r="H20" i="6"/>
  <c r="L20" i="6" s="1"/>
  <c r="D20" i="6"/>
  <c r="V18" i="6"/>
  <c r="T18" i="6"/>
  <c r="Z18" i="6" s="1"/>
  <c r="R18" i="6"/>
  <c r="P18" i="6"/>
  <c r="X18" i="6" s="1"/>
  <c r="H18" i="6"/>
  <c r="N18" i="6" s="1"/>
  <c r="F18" i="6"/>
  <c r="D18" i="6"/>
  <c r="L18" i="6" s="1"/>
  <c r="R16" i="6"/>
  <c r="V14" i="6"/>
  <c r="T14" i="6"/>
  <c r="T16" i="6" s="1"/>
  <c r="R14" i="6"/>
  <c r="P14" i="6"/>
  <c r="P16" i="6" s="1"/>
  <c r="H14" i="6"/>
  <c r="N14" i="6" s="1"/>
  <c r="F14" i="6"/>
  <c r="D14" i="6"/>
  <c r="L14" i="6" s="1"/>
  <c r="Z12" i="6"/>
  <c r="X12" i="6"/>
  <c r="T12" i="6"/>
  <c r="V29" i="6" s="1"/>
  <c r="P12" i="6"/>
  <c r="H12" i="6"/>
  <c r="J29" i="6" s="1"/>
  <c r="D12" i="6"/>
  <c r="F29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24" i="5" s="1"/>
  <c r="P12" i="5"/>
  <c r="R20" i="5" s="1"/>
  <c r="H12" i="5"/>
  <c r="J34" i="5" s="1"/>
  <c r="D12" i="5"/>
  <c r="D5" i="5"/>
  <c r="D4" i="5"/>
  <c r="B39" i="4"/>
  <c r="B38" i="4"/>
  <c r="T34" i="4"/>
  <c r="Z34" i="4" s="1"/>
  <c r="P34" i="4"/>
  <c r="H34" i="4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18" i="4" s="1"/>
  <c r="P12" i="4"/>
  <c r="R36" i="4" s="1"/>
  <c r="H12" i="4"/>
  <c r="J20" i="4" s="1"/>
  <c r="D12" i="4"/>
  <c r="F29" i="4" s="1"/>
  <c r="D5" i="4"/>
  <c r="D4" i="4"/>
  <c r="X182" i="3"/>
  <c r="Z182" i="3" s="1"/>
  <c r="T182" i="3"/>
  <c r="P182" i="3"/>
  <c r="L182" i="3"/>
  <c r="H182" i="3"/>
  <c r="N182" i="3" s="1"/>
  <c r="D182" i="3"/>
  <c r="T181" i="3"/>
  <c r="Z181" i="3" s="1"/>
  <c r="P181" i="3"/>
  <c r="X181" i="3" s="1"/>
  <c r="H181" i="3"/>
  <c r="D181" i="3"/>
  <c r="L181" i="3" s="1"/>
  <c r="N181" i="3" s="1"/>
  <c r="X177" i="3"/>
  <c r="Z177" i="3" s="1"/>
  <c r="L177" i="3"/>
  <c r="N177" i="3" s="1"/>
  <c r="Z173" i="3"/>
  <c r="X173" i="3"/>
  <c r="P173" i="3"/>
  <c r="N173" i="3"/>
  <c r="J173" i="3"/>
  <c r="D173" i="3"/>
  <c r="L173" i="3" s="1"/>
  <c r="B173" i="3"/>
  <c r="Z172" i="3"/>
  <c r="P172" i="3"/>
  <c r="X172" i="3" s="1"/>
  <c r="N172" i="3"/>
  <c r="L172" i="3"/>
  <c r="D172" i="3"/>
  <c r="B172" i="3"/>
  <c r="X171" i="3"/>
  <c r="Z171" i="3" s="1"/>
  <c r="P171" i="3"/>
  <c r="D171" i="3"/>
  <c r="L171" i="3" s="1"/>
  <c r="N171" i="3" s="1"/>
  <c r="B171" i="3"/>
  <c r="Z170" i="3"/>
  <c r="X170" i="3"/>
  <c r="P170" i="3"/>
  <c r="N170" i="3"/>
  <c r="L170" i="3"/>
  <c r="D170" i="3"/>
  <c r="B170" i="3"/>
  <c r="P169" i="3"/>
  <c r="X169" i="3" s="1"/>
  <c r="Z169" i="3" s="1"/>
  <c r="N169" i="3"/>
  <c r="L169" i="3"/>
  <c r="D169" i="3"/>
  <c r="B169" i="3"/>
  <c r="Z168" i="3"/>
  <c r="X168" i="3"/>
  <c r="P168" i="3"/>
  <c r="D168" i="3"/>
  <c r="L168" i="3" s="1"/>
  <c r="N168" i="3" s="1"/>
  <c r="B168" i="3"/>
  <c r="Z167" i="3"/>
  <c r="P167" i="3"/>
  <c r="X167" i="3" s="1"/>
  <c r="N167" i="3"/>
  <c r="L167" i="3"/>
  <c r="D167" i="3"/>
  <c r="B167" i="3"/>
  <c r="Z166" i="3"/>
  <c r="V166" i="3"/>
  <c r="P166" i="3"/>
  <c r="P165" i="3" s="1"/>
  <c r="X165" i="3" s="1"/>
  <c r="Z165" i="3" s="1"/>
  <c r="N166" i="3"/>
  <c r="D166" i="3"/>
  <c r="L166" i="3" s="1"/>
  <c r="B166" i="3"/>
  <c r="T165" i="3"/>
  <c r="H165" i="3"/>
  <c r="X163" i="3"/>
  <c r="Z163" i="3" s="1"/>
  <c r="L163" i="3"/>
  <c r="N163" i="3" s="1"/>
  <c r="B163" i="3"/>
  <c r="V162" i="3"/>
  <c r="T162" i="3"/>
  <c r="P162" i="3"/>
  <c r="X162" i="3" s="1"/>
  <c r="H162" i="3"/>
  <c r="D162" i="3"/>
  <c r="L162" i="3" s="1"/>
  <c r="B162" i="3"/>
  <c r="Z161" i="3"/>
  <c r="X161" i="3"/>
  <c r="L161" i="3"/>
  <c r="N161" i="3" s="1"/>
  <c r="B161" i="3"/>
  <c r="Z160" i="3"/>
  <c r="X160" i="3"/>
  <c r="N160" i="3"/>
  <c r="L160" i="3"/>
  <c r="B160" i="3"/>
  <c r="X159" i="3"/>
  <c r="Z159" i="3" s="1"/>
  <c r="L159" i="3"/>
  <c r="N159" i="3" s="1"/>
  <c r="B159" i="3"/>
  <c r="V158" i="3"/>
  <c r="T158" i="3"/>
  <c r="P158" i="3"/>
  <c r="X158" i="3" s="1"/>
  <c r="H158" i="3"/>
  <c r="N158" i="3" s="1"/>
  <c r="D158" i="3"/>
  <c r="L158" i="3" s="1"/>
  <c r="B158" i="3"/>
  <c r="Z157" i="3"/>
  <c r="X157" i="3"/>
  <c r="L157" i="3"/>
  <c r="N157" i="3" s="1"/>
  <c r="B157" i="3"/>
  <c r="T156" i="3"/>
  <c r="Z156" i="3" s="1"/>
  <c r="P156" i="3"/>
  <c r="X156" i="3" s="1"/>
  <c r="L156" i="3"/>
  <c r="N156" i="3" s="1"/>
  <c r="H156" i="3"/>
  <c r="D156" i="3"/>
  <c r="B156" i="3"/>
  <c r="X155" i="3"/>
  <c r="Z155" i="3" s="1"/>
  <c r="L155" i="3"/>
  <c r="N155" i="3" s="1"/>
  <c r="B155" i="3"/>
  <c r="X154" i="3"/>
  <c r="Z154" i="3" s="1"/>
  <c r="L154" i="3"/>
  <c r="N154" i="3" s="1"/>
  <c r="J154" i="3"/>
  <c r="B154" i="3"/>
  <c r="T153" i="3"/>
  <c r="P153" i="3"/>
  <c r="X153" i="3" s="1"/>
  <c r="Z153" i="3" s="1"/>
  <c r="L153" i="3"/>
  <c r="N153" i="3" s="1"/>
  <c r="H153" i="3"/>
  <c r="D153" i="3"/>
  <c r="B153" i="3"/>
  <c r="Z152" i="3"/>
  <c r="X152" i="3"/>
  <c r="N152" i="3"/>
  <c r="L152" i="3"/>
  <c r="B152" i="3"/>
  <c r="X151" i="3"/>
  <c r="Z151" i="3" s="1"/>
  <c r="L151" i="3"/>
  <c r="N151" i="3" s="1"/>
  <c r="B151" i="3"/>
  <c r="X150" i="3"/>
  <c r="Z150" i="3" s="1"/>
  <c r="L150" i="3"/>
  <c r="N150" i="3" s="1"/>
  <c r="J150" i="3"/>
  <c r="B150" i="3"/>
  <c r="Z149" i="3"/>
  <c r="X149" i="3"/>
  <c r="L149" i="3"/>
  <c r="N149" i="3" s="1"/>
  <c r="B149" i="3"/>
  <c r="Z148" i="3"/>
  <c r="X148" i="3"/>
  <c r="N148" i="3"/>
  <c r="L148" i="3"/>
  <c r="B148" i="3"/>
  <c r="X147" i="3"/>
  <c r="Z147" i="3" s="1"/>
  <c r="L147" i="3"/>
  <c r="N147" i="3" s="1"/>
  <c r="B147" i="3"/>
  <c r="X146" i="3"/>
  <c r="Z146" i="3" s="1"/>
  <c r="V146" i="3"/>
  <c r="L146" i="3"/>
  <c r="N146" i="3" s="1"/>
  <c r="B146" i="3"/>
  <c r="X145" i="3"/>
  <c r="Z145" i="3" s="1"/>
  <c r="N145" i="3"/>
  <c r="L145" i="3"/>
  <c r="B145" i="3"/>
  <c r="Z144" i="3"/>
  <c r="X144" i="3"/>
  <c r="L144" i="3"/>
  <c r="N144" i="3" s="1"/>
  <c r="B144" i="3"/>
  <c r="X143" i="3"/>
  <c r="Z143" i="3" s="1"/>
  <c r="L143" i="3"/>
  <c r="N143" i="3" s="1"/>
  <c r="B143" i="3"/>
  <c r="X142" i="3"/>
  <c r="Z142" i="3" s="1"/>
  <c r="T142" i="3"/>
  <c r="P142" i="3"/>
  <c r="H142" i="3"/>
  <c r="L142" i="3" s="1"/>
  <c r="N142" i="3" s="1"/>
  <c r="D142" i="3"/>
  <c r="B142" i="3"/>
  <c r="X141" i="3"/>
  <c r="Z141" i="3" s="1"/>
  <c r="N141" i="3"/>
  <c r="L141" i="3"/>
  <c r="B141" i="3"/>
  <c r="Z140" i="3"/>
  <c r="X140" i="3"/>
  <c r="L140" i="3"/>
  <c r="N140" i="3" s="1"/>
  <c r="B140" i="3"/>
  <c r="X139" i="3"/>
  <c r="Z139" i="3" s="1"/>
  <c r="T139" i="3"/>
  <c r="P139" i="3"/>
  <c r="L139" i="3"/>
  <c r="H139" i="3"/>
  <c r="N139" i="3" s="1"/>
  <c r="D139" i="3"/>
  <c r="B139" i="3"/>
  <c r="X138" i="3"/>
  <c r="Z138" i="3" s="1"/>
  <c r="V138" i="3"/>
  <c r="L138" i="3"/>
  <c r="N138" i="3" s="1"/>
  <c r="B138" i="3"/>
  <c r="X137" i="3"/>
  <c r="Z137" i="3" s="1"/>
  <c r="N137" i="3"/>
  <c r="L137" i="3"/>
  <c r="B137" i="3"/>
  <c r="Z136" i="3"/>
  <c r="X136" i="3"/>
  <c r="L136" i="3"/>
  <c r="N136" i="3" s="1"/>
  <c r="B136" i="3"/>
  <c r="X135" i="3"/>
  <c r="Z135" i="3" s="1"/>
  <c r="L135" i="3"/>
  <c r="N135" i="3" s="1"/>
  <c r="B135" i="3"/>
  <c r="X134" i="3"/>
  <c r="Z134" i="3" s="1"/>
  <c r="L134" i="3"/>
  <c r="N134" i="3" s="1"/>
  <c r="J134" i="3"/>
  <c r="B134" i="3"/>
  <c r="T133" i="3"/>
  <c r="P133" i="3"/>
  <c r="X133" i="3" s="1"/>
  <c r="Z133" i="3" s="1"/>
  <c r="L133" i="3"/>
  <c r="N133" i="3" s="1"/>
  <c r="H133" i="3"/>
  <c r="D133" i="3"/>
  <c r="B133" i="3"/>
  <c r="Z132" i="3"/>
  <c r="X132" i="3"/>
  <c r="N132" i="3"/>
  <c r="L132" i="3"/>
  <c r="B132" i="3"/>
  <c r="Z131" i="3"/>
  <c r="X131" i="3"/>
  <c r="N131" i="3"/>
  <c r="L131" i="3"/>
  <c r="B131" i="3"/>
  <c r="Z130" i="3"/>
  <c r="X130" i="3"/>
  <c r="N130" i="3"/>
  <c r="L130" i="3"/>
  <c r="J130" i="3"/>
  <c r="B130" i="3"/>
  <c r="Z129" i="3"/>
  <c r="X129" i="3"/>
  <c r="L129" i="3"/>
  <c r="N129" i="3" s="1"/>
  <c r="B129" i="3"/>
  <c r="T128" i="3"/>
  <c r="P128" i="3"/>
  <c r="X128" i="3" s="1"/>
  <c r="N128" i="3"/>
  <c r="L128" i="3"/>
  <c r="H128" i="3"/>
  <c r="D128" i="3"/>
  <c r="B128" i="3"/>
  <c r="X127" i="3"/>
  <c r="Z127" i="3" s="1"/>
  <c r="L127" i="3"/>
  <c r="N127" i="3" s="1"/>
  <c r="B127" i="3"/>
  <c r="Z126" i="3"/>
  <c r="X126" i="3"/>
  <c r="L126" i="3"/>
  <c r="N126" i="3" s="1"/>
  <c r="J126" i="3"/>
  <c r="B126" i="3"/>
  <c r="Z125" i="3"/>
  <c r="X125" i="3"/>
  <c r="L125" i="3"/>
  <c r="N125" i="3" s="1"/>
  <c r="B125" i="3"/>
  <c r="Z124" i="3"/>
  <c r="X124" i="3"/>
  <c r="N124" i="3"/>
  <c r="L124" i="3"/>
  <c r="B124" i="3"/>
  <c r="T123" i="3"/>
  <c r="Z123" i="3" s="1"/>
  <c r="P123" i="3"/>
  <c r="X123" i="3" s="1"/>
  <c r="H123" i="3"/>
  <c r="D123" i="3"/>
  <c r="L123" i="3" s="1"/>
  <c r="N123" i="3" s="1"/>
  <c r="B123" i="3"/>
  <c r="Z122" i="3"/>
  <c r="X122" i="3"/>
  <c r="L122" i="3"/>
  <c r="N122" i="3" s="1"/>
  <c r="J122" i="3"/>
  <c r="B122" i="3"/>
  <c r="T121" i="3"/>
  <c r="P121" i="3"/>
  <c r="X121" i="3" s="1"/>
  <c r="Z121" i="3" s="1"/>
  <c r="L121" i="3"/>
  <c r="N121" i="3" s="1"/>
  <c r="H121" i="3"/>
  <c r="D121" i="3"/>
  <c r="B121" i="3"/>
  <c r="Z120" i="3"/>
  <c r="X120" i="3"/>
  <c r="N120" i="3"/>
  <c r="L120" i="3"/>
  <c r="B120" i="3"/>
  <c r="X119" i="3"/>
  <c r="Z119" i="3" s="1"/>
  <c r="T119" i="3"/>
  <c r="P119" i="3"/>
  <c r="L119" i="3"/>
  <c r="H119" i="3"/>
  <c r="N119" i="3" s="1"/>
  <c r="D119" i="3"/>
  <c r="B119" i="3"/>
  <c r="X118" i="3"/>
  <c r="Z118" i="3" s="1"/>
  <c r="V118" i="3"/>
  <c r="N118" i="3"/>
  <c r="L118" i="3"/>
  <c r="B118" i="3"/>
  <c r="X117" i="3"/>
  <c r="T117" i="3"/>
  <c r="Z117" i="3" s="1"/>
  <c r="P117" i="3"/>
  <c r="H117" i="3"/>
  <c r="N117" i="3" s="1"/>
  <c r="D117" i="3"/>
  <c r="L117" i="3" s="1"/>
  <c r="B117" i="3"/>
  <c r="Z116" i="3"/>
  <c r="X116" i="3"/>
  <c r="N116" i="3"/>
  <c r="L116" i="3"/>
  <c r="B116" i="3"/>
  <c r="T115" i="3"/>
  <c r="Z115" i="3" s="1"/>
  <c r="P115" i="3"/>
  <c r="X115" i="3" s="1"/>
  <c r="H115" i="3"/>
  <c r="D115" i="3"/>
  <c r="L115" i="3" s="1"/>
  <c r="N115" i="3" s="1"/>
  <c r="B115" i="3"/>
  <c r="Z114" i="3"/>
  <c r="X114" i="3"/>
  <c r="N114" i="3"/>
  <c r="L114" i="3"/>
  <c r="J114" i="3"/>
  <c r="B114" i="3"/>
  <c r="T113" i="3"/>
  <c r="P113" i="3"/>
  <c r="X113" i="3" s="1"/>
  <c r="Z113" i="3" s="1"/>
  <c r="L113" i="3"/>
  <c r="N113" i="3" s="1"/>
  <c r="H113" i="3"/>
  <c r="D113" i="3"/>
  <c r="B113" i="3"/>
  <c r="Z112" i="3"/>
  <c r="X112" i="3"/>
  <c r="N112" i="3"/>
  <c r="L112" i="3"/>
  <c r="B112" i="3"/>
  <c r="X111" i="3"/>
  <c r="Z111" i="3" s="1"/>
  <c r="T111" i="3"/>
  <c r="P111" i="3"/>
  <c r="L111" i="3"/>
  <c r="H111" i="3"/>
  <c r="N111" i="3" s="1"/>
  <c r="D111" i="3"/>
  <c r="B111" i="3"/>
  <c r="Z110" i="3"/>
  <c r="X110" i="3"/>
  <c r="V110" i="3"/>
  <c r="N110" i="3"/>
  <c r="L110" i="3"/>
  <c r="B110" i="3"/>
  <c r="X109" i="3"/>
  <c r="Z109" i="3" s="1"/>
  <c r="N109" i="3"/>
  <c r="L109" i="3"/>
  <c r="B109" i="3"/>
  <c r="T108" i="3"/>
  <c r="X108" i="3" s="1"/>
  <c r="Z108" i="3" s="1"/>
  <c r="P108" i="3"/>
  <c r="J108" i="3"/>
  <c r="H108" i="3"/>
  <c r="D108" i="3"/>
  <c r="L108" i="3" s="1"/>
  <c r="B108" i="3"/>
  <c r="X107" i="3"/>
  <c r="Z107" i="3" s="1"/>
  <c r="L107" i="3"/>
  <c r="N107" i="3" s="1"/>
  <c r="B107" i="3"/>
  <c r="Z106" i="3"/>
  <c r="X106" i="3"/>
  <c r="V106" i="3"/>
  <c r="N106" i="3"/>
  <c r="L106" i="3"/>
  <c r="B106" i="3"/>
  <c r="X105" i="3"/>
  <c r="T105" i="3"/>
  <c r="Z105" i="3" s="1"/>
  <c r="P105" i="3"/>
  <c r="H105" i="3"/>
  <c r="N105" i="3" s="1"/>
  <c r="D105" i="3"/>
  <c r="L105" i="3" s="1"/>
  <c r="B105" i="3"/>
  <c r="Z104" i="3"/>
  <c r="X104" i="3"/>
  <c r="N104" i="3"/>
  <c r="L104" i="3"/>
  <c r="B104" i="3"/>
  <c r="T103" i="3"/>
  <c r="Z103" i="3" s="1"/>
  <c r="P103" i="3"/>
  <c r="X103" i="3" s="1"/>
  <c r="H103" i="3"/>
  <c r="D103" i="3"/>
  <c r="L103" i="3" s="1"/>
  <c r="N103" i="3" s="1"/>
  <c r="B103" i="3"/>
  <c r="Z102" i="3"/>
  <c r="X102" i="3"/>
  <c r="N102" i="3"/>
  <c r="L102" i="3"/>
  <c r="J102" i="3"/>
  <c r="B102" i="3"/>
  <c r="T101" i="3"/>
  <c r="P101" i="3"/>
  <c r="X101" i="3" s="1"/>
  <c r="Z101" i="3" s="1"/>
  <c r="L101" i="3"/>
  <c r="N101" i="3" s="1"/>
  <c r="H101" i="3"/>
  <c r="D101" i="3"/>
  <c r="B101" i="3"/>
  <c r="Z100" i="3"/>
  <c r="X100" i="3"/>
  <c r="N100" i="3"/>
  <c r="L100" i="3"/>
  <c r="B100" i="3"/>
  <c r="X99" i="3"/>
  <c r="Z99" i="3" s="1"/>
  <c r="T99" i="3"/>
  <c r="P99" i="3"/>
  <c r="L99" i="3"/>
  <c r="H99" i="3"/>
  <c r="N99" i="3" s="1"/>
  <c r="D99" i="3"/>
  <c r="B99" i="3"/>
  <c r="Z98" i="3"/>
  <c r="X98" i="3"/>
  <c r="V98" i="3"/>
  <c r="N98" i="3"/>
  <c r="L98" i="3"/>
  <c r="B98" i="3"/>
  <c r="Z97" i="3"/>
  <c r="X97" i="3"/>
  <c r="N97" i="3"/>
  <c r="L97" i="3"/>
  <c r="B97" i="3"/>
  <c r="Z96" i="3"/>
  <c r="T96" i="3"/>
  <c r="X96" i="3" s="1"/>
  <c r="P96" i="3"/>
  <c r="J96" i="3"/>
  <c r="H96" i="3"/>
  <c r="N96" i="3" s="1"/>
  <c r="D96" i="3"/>
  <c r="L96" i="3" s="1"/>
  <c r="B96" i="3"/>
  <c r="X95" i="3"/>
  <c r="Z95" i="3" s="1"/>
  <c r="L95" i="3"/>
  <c r="N95" i="3" s="1"/>
  <c r="B95" i="3"/>
  <c r="Z94" i="3"/>
  <c r="X94" i="3"/>
  <c r="V94" i="3"/>
  <c r="N94" i="3"/>
  <c r="L94" i="3"/>
  <c r="B94" i="3"/>
  <c r="X93" i="3"/>
  <c r="T93" i="3"/>
  <c r="Z93" i="3" s="1"/>
  <c r="P93" i="3"/>
  <c r="H93" i="3"/>
  <c r="D93" i="3"/>
  <c r="L93" i="3" s="1"/>
  <c r="B93" i="3"/>
  <c r="Z92" i="3"/>
  <c r="X92" i="3"/>
  <c r="N92" i="3"/>
  <c r="L92" i="3"/>
  <c r="B92" i="3"/>
  <c r="T91" i="3"/>
  <c r="P91" i="3"/>
  <c r="X91" i="3" s="1"/>
  <c r="H91" i="3"/>
  <c r="D91" i="3"/>
  <c r="L91" i="3" s="1"/>
  <c r="N91" i="3" s="1"/>
  <c r="B91" i="3"/>
  <c r="Z90" i="3"/>
  <c r="X90" i="3"/>
  <c r="N90" i="3"/>
  <c r="L90" i="3"/>
  <c r="J90" i="3"/>
  <c r="B90" i="3"/>
  <c r="T89" i="3"/>
  <c r="P89" i="3"/>
  <c r="X89" i="3" s="1"/>
  <c r="Z89" i="3" s="1"/>
  <c r="L89" i="3"/>
  <c r="N89" i="3" s="1"/>
  <c r="H89" i="3"/>
  <c r="D89" i="3"/>
  <c r="B89" i="3"/>
  <c r="Z88" i="3"/>
  <c r="X88" i="3"/>
  <c r="N88" i="3"/>
  <c r="L88" i="3"/>
  <c r="B88" i="3"/>
  <c r="X87" i="3"/>
  <c r="Z87" i="3" s="1"/>
  <c r="T87" i="3"/>
  <c r="P87" i="3"/>
  <c r="L87" i="3"/>
  <c r="H87" i="3"/>
  <c r="N87" i="3" s="1"/>
  <c r="D87" i="3"/>
  <c r="B87" i="3"/>
  <c r="Z86" i="3"/>
  <c r="X86" i="3"/>
  <c r="V86" i="3"/>
  <c r="N86" i="3"/>
  <c r="L86" i="3"/>
  <c r="B86" i="3"/>
  <c r="Z85" i="3"/>
  <c r="X85" i="3"/>
  <c r="N85" i="3"/>
  <c r="L85" i="3"/>
  <c r="B85" i="3"/>
  <c r="Z84" i="3"/>
  <c r="X84" i="3"/>
  <c r="N84" i="3"/>
  <c r="L84" i="3"/>
  <c r="B84" i="3"/>
  <c r="X83" i="3"/>
  <c r="Z83" i="3" s="1"/>
  <c r="L83" i="3"/>
  <c r="N83" i="3" s="1"/>
  <c r="B83" i="3"/>
  <c r="Z82" i="3"/>
  <c r="X82" i="3"/>
  <c r="N82" i="3"/>
  <c r="L82" i="3"/>
  <c r="J82" i="3"/>
  <c r="B82" i="3"/>
  <c r="Z81" i="3"/>
  <c r="X81" i="3"/>
  <c r="L81" i="3"/>
  <c r="N81" i="3" s="1"/>
  <c r="B81" i="3"/>
  <c r="Z80" i="3"/>
  <c r="X80" i="3"/>
  <c r="N80" i="3"/>
  <c r="L80" i="3"/>
  <c r="B80" i="3"/>
  <c r="Z79" i="3"/>
  <c r="X79" i="3"/>
  <c r="N79" i="3"/>
  <c r="L79" i="3"/>
  <c r="B79" i="3"/>
  <c r="Z78" i="3"/>
  <c r="X78" i="3"/>
  <c r="V78" i="3"/>
  <c r="N78" i="3"/>
  <c r="L78" i="3"/>
  <c r="B78" i="3"/>
  <c r="X77" i="3"/>
  <c r="Z77" i="3" s="1"/>
  <c r="N77" i="3"/>
  <c r="L77" i="3"/>
  <c r="B77" i="3"/>
  <c r="T76" i="3"/>
  <c r="X76" i="3" s="1"/>
  <c r="Z76" i="3" s="1"/>
  <c r="P76" i="3"/>
  <c r="J76" i="3"/>
  <c r="H76" i="3"/>
  <c r="D76" i="3"/>
  <c r="L76" i="3" s="1"/>
  <c r="B76" i="3"/>
  <c r="X75" i="3"/>
  <c r="Z75" i="3" s="1"/>
  <c r="L75" i="3"/>
  <c r="N75" i="3" s="1"/>
  <c r="B75" i="3"/>
  <c r="Z74" i="3"/>
  <c r="X74" i="3"/>
  <c r="V74" i="3"/>
  <c r="N74" i="3"/>
  <c r="L74" i="3"/>
  <c r="B74" i="3"/>
  <c r="X73" i="3"/>
  <c r="Z73" i="3" s="1"/>
  <c r="N73" i="3"/>
  <c r="L73" i="3"/>
  <c r="B73" i="3"/>
  <c r="Z72" i="3"/>
  <c r="X72" i="3"/>
  <c r="N72" i="3"/>
  <c r="L72" i="3"/>
  <c r="B72" i="3"/>
  <c r="Z71" i="3"/>
  <c r="X71" i="3"/>
  <c r="N71" i="3"/>
  <c r="L71" i="3"/>
  <c r="B71" i="3"/>
  <c r="Z70" i="3"/>
  <c r="X70" i="3"/>
  <c r="N70" i="3"/>
  <c r="L70" i="3"/>
  <c r="J70" i="3"/>
  <c r="B70" i="3"/>
  <c r="Z69" i="3"/>
  <c r="X69" i="3"/>
  <c r="L69" i="3"/>
  <c r="N69" i="3" s="1"/>
  <c r="B69" i="3"/>
  <c r="Z68" i="3"/>
  <c r="X68" i="3"/>
  <c r="N68" i="3"/>
  <c r="L68" i="3"/>
  <c r="B68" i="3"/>
  <c r="X67" i="3"/>
  <c r="Z67" i="3" s="1"/>
  <c r="L67" i="3"/>
  <c r="N67" i="3" s="1"/>
  <c r="B67" i="3"/>
  <c r="Z66" i="3"/>
  <c r="X66" i="3"/>
  <c r="V66" i="3"/>
  <c r="N66" i="3"/>
  <c r="L66" i="3"/>
  <c r="B66" i="3"/>
  <c r="X65" i="3"/>
  <c r="T65" i="3"/>
  <c r="Z65" i="3" s="1"/>
  <c r="P65" i="3"/>
  <c r="H65" i="3"/>
  <c r="D65" i="3"/>
  <c r="L65" i="3" s="1"/>
  <c r="B65" i="3"/>
  <c r="T64" i="3"/>
  <c r="P64" i="3"/>
  <c r="X64" i="3" s="1"/>
  <c r="H64" i="3"/>
  <c r="D64" i="3"/>
  <c r="L64" i="3" s="1"/>
  <c r="N64" i="3" s="1"/>
  <c r="Z60" i="3"/>
  <c r="X60" i="3"/>
  <c r="N60" i="3"/>
  <c r="L60" i="3"/>
  <c r="B60" i="3"/>
  <c r="Z59" i="3"/>
  <c r="X59" i="3"/>
  <c r="N59" i="3"/>
  <c r="L59" i="3"/>
  <c r="B59" i="3"/>
  <c r="Z58" i="3"/>
  <c r="X58" i="3"/>
  <c r="V58" i="3"/>
  <c r="N58" i="3"/>
  <c r="L58" i="3"/>
  <c r="B58" i="3"/>
  <c r="Z57" i="3"/>
  <c r="X57" i="3"/>
  <c r="N57" i="3"/>
  <c r="L57" i="3"/>
  <c r="B57" i="3"/>
  <c r="Z56" i="3"/>
  <c r="X56" i="3"/>
  <c r="N56" i="3"/>
  <c r="L56" i="3"/>
  <c r="B56" i="3"/>
  <c r="Z55" i="3"/>
  <c r="X55" i="3"/>
  <c r="N55" i="3"/>
  <c r="L55" i="3"/>
  <c r="B55" i="3"/>
  <c r="Z54" i="3"/>
  <c r="X54" i="3"/>
  <c r="N54" i="3"/>
  <c r="L54" i="3"/>
  <c r="J54" i="3"/>
  <c r="B54" i="3"/>
  <c r="Z53" i="3"/>
  <c r="X53" i="3"/>
  <c r="N53" i="3"/>
  <c r="L53" i="3"/>
  <c r="B53" i="3"/>
  <c r="Z52" i="3"/>
  <c r="X52" i="3"/>
  <c r="N52" i="3"/>
  <c r="L52" i="3"/>
  <c r="B52" i="3"/>
  <c r="Z51" i="3"/>
  <c r="X51" i="3"/>
  <c r="N51" i="3"/>
  <c r="L51" i="3"/>
  <c r="B51" i="3"/>
  <c r="Z50" i="3"/>
  <c r="X50" i="3"/>
  <c r="V50" i="3"/>
  <c r="N50" i="3"/>
  <c r="L50" i="3"/>
  <c r="B50" i="3"/>
  <c r="Z49" i="3"/>
  <c r="X49" i="3"/>
  <c r="N49" i="3"/>
  <c r="L49" i="3"/>
  <c r="B49" i="3"/>
  <c r="Z48" i="3"/>
  <c r="X48" i="3"/>
  <c r="N48" i="3"/>
  <c r="L48" i="3"/>
  <c r="B48" i="3"/>
  <c r="Z47" i="3"/>
  <c r="X47" i="3"/>
  <c r="N47" i="3"/>
  <c r="L47" i="3"/>
  <c r="B47" i="3"/>
  <c r="Z46" i="3"/>
  <c r="X46" i="3"/>
  <c r="N46" i="3"/>
  <c r="L46" i="3"/>
  <c r="J46" i="3"/>
  <c r="B46" i="3"/>
  <c r="Z45" i="3"/>
  <c r="X45" i="3"/>
  <c r="N45" i="3"/>
  <c r="L45" i="3"/>
  <c r="J45" i="3"/>
  <c r="B45" i="3"/>
  <c r="Z44" i="3"/>
  <c r="X44" i="3"/>
  <c r="N44" i="3"/>
  <c r="L44" i="3"/>
  <c r="J44" i="3"/>
  <c r="B44" i="3"/>
  <c r="Z43" i="3"/>
  <c r="X43" i="3"/>
  <c r="N43" i="3"/>
  <c r="L43" i="3"/>
  <c r="B43" i="3"/>
  <c r="Z42" i="3"/>
  <c r="X42" i="3"/>
  <c r="V42" i="3"/>
  <c r="N42" i="3"/>
  <c r="L42" i="3"/>
  <c r="B42" i="3"/>
  <c r="Z41" i="3"/>
  <c r="X41" i="3"/>
  <c r="N41" i="3"/>
  <c r="L41" i="3"/>
  <c r="B41" i="3"/>
  <c r="Z40" i="3"/>
  <c r="X40" i="3"/>
  <c r="N40" i="3"/>
  <c r="L40" i="3"/>
  <c r="B40" i="3"/>
  <c r="Z39" i="3"/>
  <c r="X39" i="3"/>
  <c r="N39" i="3"/>
  <c r="L39" i="3"/>
  <c r="J39" i="3"/>
  <c r="B39" i="3"/>
  <c r="Z38" i="3"/>
  <c r="X38" i="3"/>
  <c r="N38" i="3"/>
  <c r="L38" i="3"/>
  <c r="J38" i="3"/>
  <c r="B38" i="3"/>
  <c r="Z37" i="3"/>
  <c r="X37" i="3"/>
  <c r="N37" i="3"/>
  <c r="L37" i="3"/>
  <c r="J37" i="3"/>
  <c r="B37" i="3"/>
  <c r="Z36" i="3"/>
  <c r="X36" i="3"/>
  <c r="N36" i="3"/>
  <c r="L36" i="3"/>
  <c r="J36" i="3"/>
  <c r="B36" i="3"/>
  <c r="Z35" i="3"/>
  <c r="X35" i="3"/>
  <c r="N35" i="3"/>
  <c r="L35" i="3"/>
  <c r="J35" i="3"/>
  <c r="B35" i="3"/>
  <c r="Z34" i="3"/>
  <c r="X34" i="3"/>
  <c r="V34" i="3"/>
  <c r="N34" i="3"/>
  <c r="L34" i="3"/>
  <c r="B34" i="3"/>
  <c r="Z33" i="3"/>
  <c r="X33" i="3"/>
  <c r="N33" i="3"/>
  <c r="L33" i="3"/>
  <c r="B33" i="3"/>
  <c r="Z32" i="3"/>
  <c r="X32" i="3"/>
  <c r="N32" i="3"/>
  <c r="L32" i="3"/>
  <c r="B32" i="3"/>
  <c r="Z31" i="3"/>
  <c r="X31" i="3"/>
  <c r="N31" i="3"/>
  <c r="L31" i="3"/>
  <c r="J31" i="3"/>
  <c r="B31" i="3"/>
  <c r="Z30" i="3"/>
  <c r="X30" i="3"/>
  <c r="N30" i="3"/>
  <c r="L30" i="3"/>
  <c r="J30" i="3"/>
  <c r="B30" i="3"/>
  <c r="Z29" i="3"/>
  <c r="X29" i="3"/>
  <c r="N29" i="3"/>
  <c r="L29" i="3"/>
  <c r="J29" i="3"/>
  <c r="B29" i="3"/>
  <c r="Z28" i="3"/>
  <c r="X28" i="3"/>
  <c r="N28" i="3"/>
  <c r="L28" i="3"/>
  <c r="J28" i="3"/>
  <c r="B28" i="3"/>
  <c r="Z27" i="3"/>
  <c r="X27" i="3"/>
  <c r="N27" i="3"/>
  <c r="L27" i="3"/>
  <c r="J27" i="3"/>
  <c r="B27" i="3"/>
  <c r="X26" i="3"/>
  <c r="Z26" i="3" s="1"/>
  <c r="V26" i="3"/>
  <c r="N26" i="3"/>
  <c r="L26" i="3"/>
  <c r="B26" i="3"/>
  <c r="X25" i="3"/>
  <c r="T25" i="3"/>
  <c r="Z25" i="3" s="1"/>
  <c r="P25" i="3"/>
  <c r="H25" i="3"/>
  <c r="N25" i="3" s="1"/>
  <c r="D25" i="3"/>
  <c r="L25" i="3" s="1"/>
  <c r="Z23" i="3"/>
  <c r="P23" i="3"/>
  <c r="X23" i="3" s="1"/>
  <c r="N23" i="3"/>
  <c r="D23" i="3"/>
  <c r="L23" i="3" s="1"/>
  <c r="B23" i="3"/>
  <c r="Z22" i="3"/>
  <c r="X22" i="3"/>
  <c r="P22" i="3"/>
  <c r="N22" i="3"/>
  <c r="D22" i="3"/>
  <c r="L22" i="3" s="1"/>
  <c r="B22" i="3"/>
  <c r="Z21" i="3"/>
  <c r="X21" i="3"/>
  <c r="P21" i="3"/>
  <c r="N21" i="3"/>
  <c r="D21" i="3"/>
  <c r="L21" i="3" s="1"/>
  <c r="B21" i="3"/>
  <c r="Z20" i="3"/>
  <c r="X20" i="3"/>
  <c r="P20" i="3"/>
  <c r="N20" i="3"/>
  <c r="D20" i="3"/>
  <c r="L20" i="3" s="1"/>
  <c r="B20" i="3"/>
  <c r="Z19" i="3"/>
  <c r="X19" i="3"/>
  <c r="P19" i="3"/>
  <c r="N19" i="3"/>
  <c r="L19" i="3"/>
  <c r="D19" i="3"/>
  <c r="B19" i="3"/>
  <c r="Z18" i="3"/>
  <c r="P18" i="3"/>
  <c r="P12" i="3" s="1"/>
  <c r="N18" i="3"/>
  <c r="L18" i="3"/>
  <c r="D18" i="3"/>
  <c r="B18" i="3"/>
  <c r="Z17" i="3"/>
  <c r="P17" i="3"/>
  <c r="X17" i="3" s="1"/>
  <c r="N17" i="3"/>
  <c r="L17" i="3"/>
  <c r="D17" i="3"/>
  <c r="B17" i="3"/>
  <c r="P16" i="3"/>
  <c r="X16" i="3" s="1"/>
  <c r="Z16" i="3" s="1"/>
  <c r="L16" i="3"/>
  <c r="N16" i="3" s="1"/>
  <c r="D16" i="3"/>
  <c r="B16" i="3"/>
  <c r="Z15" i="3"/>
  <c r="P15" i="3"/>
  <c r="X15" i="3" s="1"/>
  <c r="N15" i="3"/>
  <c r="D15" i="3"/>
  <c r="L15" i="3" s="1"/>
  <c r="B15" i="3"/>
  <c r="Z14" i="3"/>
  <c r="X14" i="3"/>
  <c r="P14" i="3"/>
  <c r="N14" i="3"/>
  <c r="D14" i="3"/>
  <c r="L14" i="3" s="1"/>
  <c r="B14" i="3"/>
  <c r="Z13" i="3"/>
  <c r="X13" i="3"/>
  <c r="P13" i="3"/>
  <c r="D13" i="3"/>
  <c r="L13" i="3" s="1"/>
  <c r="N13" i="3" s="1"/>
  <c r="B13" i="3"/>
  <c r="T12" i="3"/>
  <c r="V171" i="3" s="1"/>
  <c r="H12" i="3"/>
  <c r="J182" i="3" s="1"/>
  <c r="D4" i="3"/>
  <c r="X16" i="40" l="1"/>
  <c r="L24" i="40"/>
  <c r="X33" i="41"/>
  <c r="X20" i="19"/>
  <c r="X34" i="20"/>
  <c r="X16" i="22"/>
  <c r="X13" i="31"/>
  <c r="L24" i="35"/>
  <c r="L22" i="38"/>
  <c r="L15" i="41"/>
  <c r="X33" i="43"/>
  <c r="L29" i="50"/>
  <c r="L34" i="50"/>
  <c r="L24" i="52"/>
  <c r="X25" i="53"/>
  <c r="X33" i="53"/>
  <c r="X20" i="23"/>
  <c r="L22" i="23"/>
  <c r="X15" i="25"/>
  <c r="X29" i="25"/>
  <c r="L20" i="26"/>
  <c r="X24" i="26"/>
  <c r="L13" i="35"/>
  <c r="X25" i="8"/>
  <c r="L33" i="31"/>
  <c r="L25" i="10"/>
  <c r="L33" i="10"/>
  <c r="X13" i="13"/>
  <c r="X16" i="25"/>
  <c r="X34" i="34"/>
  <c r="X25" i="37"/>
  <c r="L16" i="38"/>
  <c r="X22" i="38"/>
  <c r="L13" i="92"/>
  <c r="L24" i="53"/>
  <c r="L29" i="53"/>
  <c r="X22" i="13"/>
  <c r="L13" i="19"/>
  <c r="X20" i="20"/>
  <c r="L21" i="25"/>
  <c r="X25" i="25"/>
  <c r="X33" i="25"/>
  <c r="L16" i="26"/>
  <c r="X22" i="26"/>
  <c r="L21" i="32"/>
  <c r="X15" i="40"/>
  <c r="X34" i="40"/>
  <c r="X25" i="44"/>
  <c r="X33" i="44"/>
  <c r="L34" i="43"/>
  <c r="L34" i="26"/>
  <c r="X24" i="44"/>
  <c r="X15" i="46"/>
  <c r="X24" i="47"/>
  <c r="X15" i="49"/>
  <c r="X24" i="43"/>
  <c r="L25" i="11"/>
  <c r="L33" i="11"/>
  <c r="X16" i="14"/>
  <c r="X29" i="43"/>
  <c r="L15" i="53"/>
  <c r="L20" i="29"/>
  <c r="X13" i="46"/>
  <c r="X13" i="40"/>
  <c r="L21" i="40"/>
  <c r="L22" i="94"/>
  <c r="D18" i="34"/>
  <c r="D27" i="34" s="1"/>
  <c r="X16" i="34"/>
  <c r="L25" i="44"/>
  <c r="L33" i="44"/>
  <c r="L13" i="47"/>
  <c r="L25" i="47"/>
  <c r="L33" i="47"/>
  <c r="X33" i="93"/>
  <c r="L15" i="4"/>
  <c r="L29" i="4"/>
  <c r="X16" i="10"/>
  <c r="L24" i="10"/>
  <c r="X22" i="11"/>
  <c r="L13" i="22"/>
  <c r="X29" i="32"/>
  <c r="X13" i="34"/>
  <c r="X13" i="41"/>
  <c r="X34" i="47"/>
  <c r="X29" i="19"/>
  <c r="L25" i="49"/>
  <c r="X34" i="5"/>
  <c r="L15" i="8"/>
  <c r="L34" i="8"/>
  <c r="L15" i="11"/>
  <c r="X13" i="16"/>
  <c r="L21" i="16"/>
  <c r="L16" i="17"/>
  <c r="L25" i="38"/>
  <c r="L16" i="44"/>
  <c r="X22" i="44"/>
  <c r="L16" i="4"/>
  <c r="L25" i="5"/>
  <c r="L33" i="5"/>
  <c r="X15" i="8"/>
  <c r="X34" i="8"/>
  <c r="X29" i="11"/>
  <c r="X34" i="11"/>
  <c r="L25" i="20"/>
  <c r="X21" i="43"/>
  <c r="L24" i="46"/>
  <c r="L16" i="5"/>
  <c r="X21" i="17"/>
  <c r="L29" i="17"/>
  <c r="X13" i="19"/>
  <c r="X22" i="20"/>
  <c r="L20" i="23"/>
  <c r="L16" i="28"/>
  <c r="L33" i="28"/>
  <c r="L20" i="31"/>
  <c r="L34" i="32"/>
  <c r="X34" i="35"/>
  <c r="X16" i="37"/>
  <c r="X33" i="38"/>
  <c r="L13" i="40"/>
  <c r="X16" i="44"/>
  <c r="L24" i="44"/>
  <c r="X16" i="47"/>
  <c r="L24" i="47"/>
  <c r="X33" i="50"/>
  <c r="X22" i="25"/>
  <c r="L22" i="49"/>
  <c r="L16" i="19"/>
  <c r="X25" i="92"/>
  <c r="X33" i="92"/>
  <c r="L16" i="50"/>
  <c r="X29" i="94"/>
  <c r="L25" i="94"/>
  <c r="X34" i="4"/>
  <c r="L20" i="5"/>
  <c r="X29" i="13"/>
  <c r="X24" i="14"/>
  <c r="L22" i="17"/>
  <c r="L15" i="20"/>
  <c r="L13" i="23"/>
  <c r="L24" i="38"/>
  <c r="L20" i="49"/>
  <c r="X15" i="92"/>
  <c r="L16" i="14"/>
  <c r="F29" i="26"/>
  <c r="L13" i="93"/>
  <c r="X22" i="7"/>
  <c r="L25" i="8"/>
  <c r="X13" i="10"/>
  <c r="X16" i="13"/>
  <c r="X22" i="14"/>
  <c r="L34" i="16"/>
  <c r="F20" i="20"/>
  <c r="L21" i="22"/>
  <c r="L21" i="28"/>
  <c r="X16" i="31"/>
  <c r="L24" i="31"/>
  <c r="L15" i="34"/>
  <c r="X21" i="34"/>
  <c r="L34" i="34"/>
  <c r="X20" i="37"/>
  <c r="X15" i="38"/>
  <c r="X29" i="38"/>
  <c r="L15" i="40"/>
  <c r="X21" i="40"/>
  <c r="L29" i="40"/>
  <c r="L34" i="40"/>
  <c r="L24" i="41"/>
  <c r="L33" i="46"/>
  <c r="L13" i="49"/>
  <c r="V15" i="49"/>
  <c r="X20" i="49"/>
  <c r="L33" i="53"/>
  <c r="X16" i="92"/>
  <c r="L24" i="92"/>
  <c r="L15" i="94"/>
  <c r="X21" i="22"/>
  <c r="L16" i="25"/>
  <c r="L33" i="38"/>
  <c r="L21" i="46"/>
  <c r="X25" i="46"/>
  <c r="L22" i="50"/>
  <c r="L21" i="53"/>
  <c r="X24" i="92"/>
  <c r="L29" i="92"/>
  <c r="Z12" i="94"/>
  <c r="X29" i="41"/>
  <c r="L29" i="19"/>
  <c r="L15" i="32"/>
  <c r="L33" i="4"/>
  <c r="L34" i="11"/>
  <c r="L13" i="13"/>
  <c r="X34" i="14"/>
  <c r="L16" i="16"/>
  <c r="X22" i="16"/>
  <c r="L25" i="17"/>
  <c r="L33" i="17"/>
  <c r="L34" i="19"/>
  <c r="X15" i="23"/>
  <c r="N12" i="25"/>
  <c r="Z12" i="32"/>
  <c r="L15" i="47"/>
  <c r="X21" i="49"/>
  <c r="L25" i="50"/>
  <c r="X20" i="52"/>
  <c r="X34" i="93"/>
  <c r="N12" i="13"/>
  <c r="X25" i="17"/>
  <c r="R21" i="26"/>
  <c r="L13" i="28"/>
  <c r="J24" i="28"/>
  <c r="X33" i="28"/>
  <c r="X20" i="31"/>
  <c r="X24" i="31"/>
  <c r="X21" i="41"/>
  <c r="L29" i="41"/>
  <c r="N34" i="43"/>
  <c r="F16" i="47"/>
  <c r="X16" i="50"/>
  <c r="L22" i="53"/>
  <c r="L22" i="5"/>
  <c r="X15" i="7"/>
  <c r="X34" i="7"/>
  <c r="X24" i="8"/>
  <c r="X20" i="10"/>
  <c r="L22" i="10"/>
  <c r="L20" i="13"/>
  <c r="X24" i="13"/>
  <c r="X24" i="16"/>
  <c r="X16" i="17"/>
  <c r="L24" i="17"/>
  <c r="X21" i="20"/>
  <c r="H18" i="23"/>
  <c r="H27" i="23" s="1"/>
  <c r="L15" i="23"/>
  <c r="L21" i="23"/>
  <c r="L24" i="25"/>
  <c r="V36" i="25"/>
  <c r="L22" i="29"/>
  <c r="X24" i="29"/>
  <c r="L16" i="31"/>
  <c r="X34" i="31"/>
  <c r="J18" i="37"/>
  <c r="L34" i="37"/>
  <c r="F20" i="41"/>
  <c r="X24" i="41"/>
  <c r="L21" i="43"/>
  <c r="L25" i="43"/>
  <c r="X34" i="43"/>
  <c r="L20" i="44"/>
  <c r="L29" i="44"/>
  <c r="X21" i="46"/>
  <c r="L34" i="46"/>
  <c r="L21" i="47"/>
  <c r="X13" i="49"/>
  <c r="L34" i="52"/>
  <c r="X16" i="53"/>
  <c r="L25" i="53"/>
  <c r="L22" i="92"/>
  <c r="X29" i="92"/>
  <c r="L24" i="94"/>
  <c r="J29" i="93"/>
  <c r="L20" i="4"/>
  <c r="L25" i="7"/>
  <c r="L33" i="7"/>
  <c r="L22" i="8"/>
  <c r="L16" i="10"/>
  <c r="L29" i="14"/>
  <c r="X15" i="17"/>
  <c r="X22" i="19"/>
  <c r="L29" i="20"/>
  <c r="L34" i="20"/>
  <c r="X20" i="22"/>
  <c r="L22" i="22"/>
  <c r="L20" i="25"/>
  <c r="L13" i="26"/>
  <c r="X22" i="29"/>
  <c r="X15" i="32"/>
  <c r="X21" i="32"/>
  <c r="X24" i="32"/>
  <c r="L25" i="34"/>
  <c r="X21" i="35"/>
  <c r="L34" i="35"/>
  <c r="L13" i="37"/>
  <c r="X29" i="37"/>
  <c r="L22" i="41"/>
  <c r="J21" i="43"/>
  <c r="X20" i="44"/>
  <c r="X34" i="44"/>
  <c r="X29" i="46"/>
  <c r="X34" i="46"/>
  <c r="X12" i="47"/>
  <c r="X21" i="47"/>
  <c r="L15" i="49"/>
  <c r="X34" i="52"/>
  <c r="T18" i="53"/>
  <c r="T27" i="53" s="1"/>
  <c r="Z27" i="53" s="1"/>
  <c r="L16" i="92"/>
  <c r="X16" i="93"/>
  <c r="L34" i="93"/>
  <c r="X15" i="94"/>
  <c r="V15" i="25"/>
  <c r="V33" i="25"/>
  <c r="T18" i="25"/>
  <c r="Z18" i="25" s="1"/>
  <c r="X20" i="4"/>
  <c r="X13" i="7"/>
  <c r="L16" i="8"/>
  <c r="L13" i="32"/>
  <c r="Z12" i="43"/>
  <c r="V27" i="43"/>
  <c r="L25" i="52"/>
  <c r="J15" i="93"/>
  <c r="H18" i="93"/>
  <c r="V29" i="93"/>
  <c r="V25" i="25"/>
  <c r="L33" i="26"/>
  <c r="D18" i="29"/>
  <c r="D27" i="29" s="1"/>
  <c r="N13" i="32"/>
  <c r="L24" i="34"/>
  <c r="L29" i="49"/>
  <c r="L34" i="49"/>
  <c r="X29" i="50"/>
  <c r="X16" i="52"/>
  <c r="X20" i="53"/>
  <c r="L34" i="53"/>
  <c r="X16" i="20"/>
  <c r="X15" i="29"/>
  <c r="F24" i="29"/>
  <c r="L34" i="92"/>
  <c r="V21" i="93"/>
  <c r="V27" i="93"/>
  <c r="X22" i="94"/>
  <c r="F15" i="4"/>
  <c r="V27" i="8"/>
  <c r="L15" i="5"/>
  <c r="X16" i="5"/>
  <c r="L21" i="5"/>
  <c r="L15" i="7"/>
  <c r="L13" i="8"/>
  <c r="L29" i="8"/>
  <c r="X33" i="8"/>
  <c r="X22" i="10"/>
  <c r="R18" i="4"/>
  <c r="X25" i="10"/>
  <c r="F34" i="38"/>
  <c r="F33" i="38"/>
  <c r="J34" i="7"/>
  <c r="L21" i="4"/>
  <c r="X22" i="4"/>
  <c r="L24" i="5"/>
  <c r="X20" i="8"/>
  <c r="X13" i="4"/>
  <c r="X21" i="4"/>
  <c r="X25" i="4"/>
  <c r="X33" i="4"/>
  <c r="L29" i="5"/>
  <c r="L34" i="5"/>
  <c r="L22" i="7"/>
  <c r="L34" i="7"/>
  <c r="X13" i="8"/>
  <c r="X16" i="8"/>
  <c r="X29" i="8"/>
  <c r="X21" i="10"/>
  <c r="L34" i="10"/>
  <c r="L16" i="11"/>
  <c r="X15" i="10"/>
  <c r="L20" i="10"/>
  <c r="F36" i="11"/>
  <c r="F22" i="11"/>
  <c r="L24" i="4"/>
  <c r="X20" i="5"/>
  <c r="X24" i="5"/>
  <c r="L13" i="7"/>
  <c r="P18" i="8"/>
  <c r="P27" i="8" s="1"/>
  <c r="P31" i="8" s="1"/>
  <c r="F31" i="8"/>
  <c r="F36" i="17"/>
  <c r="F25" i="17"/>
  <c r="R34" i="22"/>
  <c r="R29" i="22"/>
  <c r="R21" i="22"/>
  <c r="R20" i="22"/>
  <c r="R22" i="22"/>
  <c r="R24" i="22"/>
  <c r="R25" i="22"/>
  <c r="R18" i="22"/>
  <c r="R15" i="22"/>
  <c r="R36" i="22"/>
  <c r="V24" i="28"/>
  <c r="V33" i="28"/>
  <c r="V29" i="28"/>
  <c r="V16" i="28"/>
  <c r="V15" i="28"/>
  <c r="V20" i="28"/>
  <c r="V27" i="28"/>
  <c r="Z12" i="28"/>
  <c r="V31" i="28"/>
  <c r="V25" i="28"/>
  <c r="Z20" i="5"/>
  <c r="X12" i="8"/>
  <c r="X16" i="26"/>
  <c r="Z16" i="26"/>
  <c r="V18" i="28"/>
  <c r="L25" i="37"/>
  <c r="N25" i="37"/>
  <c r="X16" i="4"/>
  <c r="N12" i="7"/>
  <c r="V20" i="16"/>
  <c r="V22" i="16"/>
  <c r="L25" i="32"/>
  <c r="N25" i="32"/>
  <c r="F22" i="50"/>
  <c r="J18" i="92"/>
  <c r="J22" i="92"/>
  <c r="J27" i="92"/>
  <c r="X25" i="13"/>
  <c r="P18" i="22"/>
  <c r="V18" i="25"/>
  <c r="R20" i="26"/>
  <c r="F24" i="26"/>
  <c r="X12" i="28"/>
  <c r="L15" i="28"/>
  <c r="R18" i="29"/>
  <c r="F22" i="29"/>
  <c r="F31" i="29"/>
  <c r="L22" i="31"/>
  <c r="V34" i="32"/>
  <c r="F20" i="34"/>
  <c r="J16" i="35"/>
  <c r="X21" i="37"/>
  <c r="F34" i="41"/>
  <c r="V15" i="43"/>
  <c r="Z12" i="46"/>
  <c r="R25" i="46"/>
  <c r="X20" i="47"/>
  <c r="X24" i="52"/>
  <c r="N12" i="92"/>
  <c r="X13" i="92"/>
  <c r="V18" i="92"/>
  <c r="L33" i="92"/>
  <c r="L22" i="93"/>
  <c r="X16" i="94"/>
  <c r="L21" i="94"/>
  <c r="L34" i="94"/>
  <c r="L22" i="11"/>
  <c r="X15" i="13"/>
  <c r="X33" i="13"/>
  <c r="X20" i="16"/>
  <c r="L22" i="16"/>
  <c r="X29" i="16"/>
  <c r="R16" i="17"/>
  <c r="X22" i="17"/>
  <c r="X29" i="17"/>
  <c r="D18" i="19"/>
  <c r="J29" i="19"/>
  <c r="J21" i="25"/>
  <c r="J27" i="25"/>
  <c r="J31" i="25"/>
  <c r="F18" i="26"/>
  <c r="L24" i="26"/>
  <c r="F25" i="26"/>
  <c r="J21" i="28"/>
  <c r="X22" i="28"/>
  <c r="R24" i="28"/>
  <c r="V36" i="32"/>
  <c r="F16" i="41"/>
  <c r="F31" i="41"/>
  <c r="V22" i="52"/>
  <c r="R25" i="53"/>
  <c r="J34" i="53"/>
  <c r="J33" i="92"/>
  <c r="J36" i="92"/>
  <c r="D18" i="14"/>
  <c r="F15" i="19"/>
  <c r="L25" i="19"/>
  <c r="F16" i="20"/>
  <c r="V22" i="23"/>
  <c r="X21" i="25"/>
  <c r="Z22" i="25"/>
  <c r="V27" i="25"/>
  <c r="V31" i="25"/>
  <c r="R18" i="26"/>
  <c r="R22" i="28"/>
  <c r="N12" i="29"/>
  <c r="F20" i="29"/>
  <c r="J21" i="29"/>
  <c r="F27" i="29"/>
  <c r="F33" i="29"/>
  <c r="L15" i="31"/>
  <c r="Z24" i="31"/>
  <c r="V15" i="32"/>
  <c r="V21" i="32"/>
  <c r="F31" i="37"/>
  <c r="F27" i="41"/>
  <c r="X13" i="43"/>
  <c r="R21" i="43"/>
  <c r="V22" i="43"/>
  <c r="V34" i="43"/>
  <c r="L15" i="44"/>
  <c r="F16" i="44"/>
  <c r="F22" i="44"/>
  <c r="L13" i="46"/>
  <c r="V15" i="46"/>
  <c r="L29" i="46"/>
  <c r="Z12" i="47"/>
  <c r="R16" i="47"/>
  <c r="V20" i="47"/>
  <c r="F15" i="49"/>
  <c r="F36" i="49"/>
  <c r="R18" i="50"/>
  <c r="R21" i="92"/>
  <c r="J29" i="92"/>
  <c r="H18" i="94"/>
  <c r="J34" i="94"/>
  <c r="L34" i="13"/>
  <c r="L20" i="14"/>
  <c r="V36" i="14"/>
  <c r="V21" i="23"/>
  <c r="J34" i="25"/>
  <c r="F22" i="26"/>
  <c r="F16" i="29"/>
  <c r="V16" i="32"/>
  <c r="V20" i="32"/>
  <c r="V25" i="32"/>
  <c r="V29" i="32"/>
  <c r="X12" i="35"/>
  <c r="N12" i="37"/>
  <c r="R20" i="37"/>
  <c r="L22" i="37"/>
  <c r="X24" i="37"/>
  <c r="V20" i="43"/>
  <c r="R29" i="43"/>
  <c r="V33" i="43"/>
  <c r="R15" i="47"/>
  <c r="F29" i="49"/>
  <c r="V29" i="52"/>
  <c r="J27" i="53"/>
  <c r="X12" i="92"/>
  <c r="N29" i="92"/>
  <c r="X12" i="93"/>
  <c r="L20" i="94"/>
  <c r="X21" i="94"/>
  <c r="L33" i="94"/>
  <c r="X34" i="94"/>
  <c r="L16" i="13"/>
  <c r="X33" i="14"/>
  <c r="L15" i="19"/>
  <c r="Z12" i="25"/>
  <c r="J15" i="25"/>
  <c r="V21" i="25"/>
  <c r="J25" i="25"/>
  <c r="F16" i="26"/>
  <c r="F20" i="26"/>
  <c r="F33" i="26"/>
  <c r="R15" i="28"/>
  <c r="F15" i="29"/>
  <c r="R21" i="29"/>
  <c r="F29" i="29"/>
  <c r="T18" i="32"/>
  <c r="T27" i="32" s="1"/>
  <c r="Z12" i="44"/>
  <c r="V16" i="47"/>
  <c r="X16" i="49"/>
  <c r="Z12" i="52"/>
  <c r="V20" i="52"/>
  <c r="X25" i="52"/>
  <c r="J15" i="92"/>
  <c r="J24" i="92"/>
  <c r="J25" i="92"/>
  <c r="X20" i="14"/>
  <c r="V21" i="14"/>
  <c r="V33" i="14"/>
  <c r="X15" i="19"/>
  <c r="J18" i="19"/>
  <c r="X21" i="19"/>
  <c r="L21" i="20"/>
  <c r="V20" i="25"/>
  <c r="L15" i="26"/>
  <c r="F27" i="26"/>
  <c r="F36" i="26"/>
  <c r="N12" i="28"/>
  <c r="X12" i="29"/>
  <c r="L15" i="29"/>
  <c r="R20" i="29"/>
  <c r="Z34" i="31"/>
  <c r="V18" i="32"/>
  <c r="V27" i="32"/>
  <c r="F31" i="32"/>
  <c r="F15" i="34"/>
  <c r="J20" i="35"/>
  <c r="H18" i="37"/>
  <c r="H27" i="37" s="1"/>
  <c r="V27" i="37"/>
  <c r="L20" i="38"/>
  <c r="X21" i="38"/>
  <c r="X15" i="41"/>
  <c r="J18" i="41"/>
  <c r="F21" i="41"/>
  <c r="X15" i="43"/>
  <c r="J31" i="43"/>
  <c r="J18" i="47"/>
  <c r="R22" i="47"/>
  <c r="L24" i="50"/>
  <c r="V16" i="52"/>
  <c r="V36" i="52"/>
  <c r="R33" i="53"/>
  <c r="X20" i="92"/>
  <c r="X13" i="94"/>
  <c r="X21" i="11"/>
  <c r="L24" i="11"/>
  <c r="J22" i="13"/>
  <c r="X34" i="13"/>
  <c r="L12" i="14"/>
  <c r="L34" i="14"/>
  <c r="L20" i="16"/>
  <c r="L24" i="16"/>
  <c r="X20" i="17"/>
  <c r="X24" i="17"/>
  <c r="L20" i="19"/>
  <c r="L33" i="19"/>
  <c r="F21" i="20"/>
  <c r="F31" i="20"/>
  <c r="L24" i="22"/>
  <c r="L16" i="23"/>
  <c r="X24" i="25"/>
  <c r="V34" i="25"/>
  <c r="F15" i="26"/>
  <c r="X13" i="28"/>
  <c r="X25" i="28"/>
  <c r="X29" i="29"/>
  <c r="L34" i="29"/>
  <c r="X33" i="31"/>
  <c r="F16" i="32"/>
  <c r="L20" i="32"/>
  <c r="V31" i="32"/>
  <c r="X34" i="32"/>
  <c r="J15" i="37"/>
  <c r="L21" i="37"/>
  <c r="X13" i="38"/>
  <c r="X24" i="38"/>
  <c r="X25" i="40"/>
  <c r="X33" i="40"/>
  <c r="R22" i="41"/>
  <c r="R15" i="43"/>
  <c r="V16" i="43"/>
  <c r="J27" i="43"/>
  <c r="L33" i="43"/>
  <c r="J34" i="43"/>
  <c r="R15" i="44"/>
  <c r="V31" i="46"/>
  <c r="X13" i="47"/>
  <c r="H18" i="49"/>
  <c r="H27" i="49" s="1"/>
  <c r="J21" i="49"/>
  <c r="X29" i="49"/>
  <c r="L13" i="52"/>
  <c r="V15" i="52"/>
  <c r="V18" i="52"/>
  <c r="V25" i="52"/>
  <c r="N29" i="53"/>
  <c r="J31" i="92"/>
  <c r="X15" i="93"/>
  <c r="L33" i="93"/>
  <c r="L29" i="94"/>
  <c r="X33" i="94"/>
  <c r="V25" i="4"/>
  <c r="X29" i="14"/>
  <c r="Z29" i="14"/>
  <c r="Z12" i="4"/>
  <c r="D18" i="4"/>
  <c r="D27" i="4" s="1"/>
  <c r="L29" i="10"/>
  <c r="L13" i="16"/>
  <c r="D27" i="19"/>
  <c r="D31" i="19" s="1"/>
  <c r="X34" i="23"/>
  <c r="V20" i="4"/>
  <c r="R22" i="4"/>
  <c r="L13" i="4"/>
  <c r="T18" i="4"/>
  <c r="T27" i="4" s="1"/>
  <c r="Z27" i="4" s="1"/>
  <c r="R21" i="4"/>
  <c r="F29" i="7"/>
  <c r="F18" i="7"/>
  <c r="V34" i="19"/>
  <c r="V15" i="19"/>
  <c r="T18" i="19"/>
  <c r="T27" i="19" s="1"/>
  <c r="L22" i="20"/>
  <c r="X34" i="28"/>
  <c r="F22" i="4"/>
  <c r="F36" i="4"/>
  <c r="P18" i="4"/>
  <c r="P27" i="4" s="1"/>
  <c r="F25" i="4"/>
  <c r="L21" i="11"/>
  <c r="X16" i="16"/>
  <c r="L20" i="17"/>
  <c r="V34" i="4"/>
  <c r="V22" i="4"/>
  <c r="V29" i="4"/>
  <c r="V36" i="4"/>
  <c r="V33" i="4"/>
  <c r="R15" i="4"/>
  <c r="V21" i="4"/>
  <c r="F20" i="5"/>
  <c r="F22" i="5"/>
  <c r="F22" i="22"/>
  <c r="F16" i="22"/>
  <c r="F20" i="22"/>
  <c r="L12" i="4"/>
  <c r="V16" i="4"/>
  <c r="V15" i="4"/>
  <c r="L22" i="4"/>
  <c r="F33" i="4"/>
  <c r="X15" i="16"/>
  <c r="X24" i="19"/>
  <c r="D18" i="25"/>
  <c r="D27" i="25" s="1"/>
  <c r="F15" i="25"/>
  <c r="F25" i="25"/>
  <c r="F16" i="25"/>
  <c r="F18" i="25"/>
  <c r="F33" i="25"/>
  <c r="F20" i="25"/>
  <c r="F36" i="25"/>
  <c r="L25" i="4"/>
  <c r="V15" i="5"/>
  <c r="R18" i="5"/>
  <c r="V22" i="5"/>
  <c r="V25" i="5"/>
  <c r="V29" i="5"/>
  <c r="V33" i="5"/>
  <c r="V25" i="7"/>
  <c r="Z12" i="8"/>
  <c r="R18" i="8"/>
  <c r="V31" i="8"/>
  <c r="V16" i="11"/>
  <c r="X20" i="11"/>
  <c r="L21" i="13"/>
  <c r="L15" i="14"/>
  <c r="T18" i="14"/>
  <c r="Z18" i="14" s="1"/>
  <c r="L21" i="14"/>
  <c r="X25" i="14"/>
  <c r="V29" i="14"/>
  <c r="Z33" i="14"/>
  <c r="V15" i="16"/>
  <c r="V21" i="16"/>
  <c r="V34" i="16"/>
  <c r="R15" i="17"/>
  <c r="R29" i="17"/>
  <c r="L34" i="17"/>
  <c r="X12" i="19"/>
  <c r="X25" i="19"/>
  <c r="F34" i="19"/>
  <c r="L13" i="20"/>
  <c r="R16" i="20"/>
  <c r="L33" i="20"/>
  <c r="X29" i="22"/>
  <c r="L34" i="22"/>
  <c r="T18" i="23"/>
  <c r="T27" i="23" s="1"/>
  <c r="V16" i="23"/>
  <c r="L24" i="23"/>
  <c r="X25" i="23"/>
  <c r="X29" i="23"/>
  <c r="X33" i="23"/>
  <c r="V34" i="23"/>
  <c r="J20" i="25"/>
  <c r="J29" i="25"/>
  <c r="J22" i="25"/>
  <c r="L34" i="25"/>
  <c r="J36" i="25"/>
  <c r="R36" i="26"/>
  <c r="R16" i="26"/>
  <c r="D18" i="26"/>
  <c r="D27" i="26" s="1"/>
  <c r="X21" i="26"/>
  <c r="R22" i="26"/>
  <c r="J22" i="28"/>
  <c r="J25" i="28"/>
  <c r="L29" i="28"/>
  <c r="V34" i="28"/>
  <c r="F21" i="29"/>
  <c r="F34" i="29"/>
  <c r="L12" i="29"/>
  <c r="R16" i="29"/>
  <c r="X15" i="31"/>
  <c r="V16" i="31"/>
  <c r="L21" i="35"/>
  <c r="J20" i="38"/>
  <c r="J33" i="38"/>
  <c r="J25" i="38"/>
  <c r="H18" i="38"/>
  <c r="H27" i="38" s="1"/>
  <c r="J22" i="38"/>
  <c r="J15" i="38"/>
  <c r="J36" i="38"/>
  <c r="N12" i="38"/>
  <c r="J29" i="38"/>
  <c r="X29" i="4"/>
  <c r="V18" i="5"/>
  <c r="V27" i="5"/>
  <c r="V31" i="5"/>
  <c r="R36" i="5"/>
  <c r="R27" i="7"/>
  <c r="J33" i="7"/>
  <c r="V18" i="8"/>
  <c r="R15" i="10"/>
  <c r="R16" i="10"/>
  <c r="X24" i="10"/>
  <c r="R16" i="13"/>
  <c r="F15" i="14"/>
  <c r="F21" i="14"/>
  <c r="V25" i="14"/>
  <c r="T18" i="16"/>
  <c r="Z18" i="16" s="1"/>
  <c r="V29" i="16"/>
  <c r="V33" i="16"/>
  <c r="J15" i="19"/>
  <c r="J21" i="19"/>
  <c r="J33" i="19"/>
  <c r="F27" i="20"/>
  <c r="V15" i="23"/>
  <c r="V20" i="26"/>
  <c r="V25" i="26"/>
  <c r="V18" i="26"/>
  <c r="V15" i="26"/>
  <c r="X21" i="28"/>
  <c r="J31" i="28"/>
  <c r="J24" i="29"/>
  <c r="F34" i="31"/>
  <c r="F20" i="31"/>
  <c r="F16" i="31"/>
  <c r="L21" i="31"/>
  <c r="V36" i="5"/>
  <c r="V18" i="7"/>
  <c r="L21" i="7"/>
  <c r="X33" i="7"/>
  <c r="R15" i="8"/>
  <c r="R24" i="8"/>
  <c r="R25" i="8"/>
  <c r="L12" i="10"/>
  <c r="R21" i="10"/>
  <c r="R22" i="10"/>
  <c r="X29" i="10"/>
  <c r="X33" i="10"/>
  <c r="F36" i="10"/>
  <c r="F16" i="11"/>
  <c r="R18" i="11"/>
  <c r="V20" i="11"/>
  <c r="L29" i="11"/>
  <c r="R24" i="13"/>
  <c r="L33" i="14"/>
  <c r="L12" i="16"/>
  <c r="V18" i="16"/>
  <c r="F36" i="16"/>
  <c r="L12" i="17"/>
  <c r="X13" i="17"/>
  <c r="R20" i="17"/>
  <c r="R21" i="17"/>
  <c r="R22" i="17"/>
  <c r="R24" i="17"/>
  <c r="J34" i="19"/>
  <c r="R20" i="20"/>
  <c r="L25" i="22"/>
  <c r="J34" i="23"/>
  <c r="J15" i="23"/>
  <c r="J21" i="23"/>
  <c r="V25" i="23"/>
  <c r="V29" i="23"/>
  <c r="V33" i="23"/>
  <c r="X13" i="25"/>
  <c r="X12" i="26"/>
  <c r="V22" i="26"/>
  <c r="J29" i="28"/>
  <c r="Z20" i="40"/>
  <c r="X20" i="40"/>
  <c r="L34" i="4"/>
  <c r="X12" i="5"/>
  <c r="N24" i="5"/>
  <c r="J21" i="8"/>
  <c r="J22" i="8"/>
  <c r="V15" i="10"/>
  <c r="R20" i="10"/>
  <c r="V36" i="10"/>
  <c r="L20" i="11"/>
  <c r="V21" i="11"/>
  <c r="L12" i="13"/>
  <c r="X20" i="13"/>
  <c r="J15" i="14"/>
  <c r="F33" i="14"/>
  <c r="V25" i="16"/>
  <c r="V36" i="16"/>
  <c r="N12" i="17"/>
  <c r="F33" i="17"/>
  <c r="X16" i="19"/>
  <c r="L24" i="19"/>
  <c r="F25" i="19"/>
  <c r="F27" i="19"/>
  <c r="X13" i="20"/>
  <c r="L16" i="20"/>
  <c r="F18" i="20"/>
  <c r="L15" i="22"/>
  <c r="X24" i="22"/>
  <c r="X25" i="22"/>
  <c r="V16" i="25"/>
  <c r="X20" i="25"/>
  <c r="V29" i="25"/>
  <c r="J33" i="25"/>
  <c r="Z12" i="26"/>
  <c r="T18" i="26"/>
  <c r="T27" i="26" s="1"/>
  <c r="L29" i="26"/>
  <c r="X34" i="26"/>
  <c r="H18" i="28"/>
  <c r="H27" i="28" s="1"/>
  <c r="T18" i="28"/>
  <c r="T27" i="28" s="1"/>
  <c r="V21" i="28"/>
  <c r="X24" i="28"/>
  <c r="V36" i="28"/>
  <c r="L16" i="29"/>
  <c r="F18" i="29"/>
  <c r="X21" i="29"/>
  <c r="R22" i="29"/>
  <c r="R24" i="29"/>
  <c r="L25" i="29"/>
  <c r="L29" i="29"/>
  <c r="L33" i="29"/>
  <c r="F36" i="29"/>
  <c r="X12" i="31"/>
  <c r="R22" i="31"/>
  <c r="R20" i="32"/>
  <c r="X12" i="32"/>
  <c r="R34" i="37"/>
  <c r="X12" i="37"/>
  <c r="R24" i="37"/>
  <c r="X24" i="4"/>
  <c r="N34" i="4"/>
  <c r="Z12" i="5"/>
  <c r="L16" i="7"/>
  <c r="L20" i="7"/>
  <c r="X29" i="7"/>
  <c r="N12" i="8"/>
  <c r="V15" i="8"/>
  <c r="V16" i="8"/>
  <c r="R29" i="8"/>
  <c r="R33" i="8"/>
  <c r="V34" i="8"/>
  <c r="F15" i="10"/>
  <c r="D18" i="10"/>
  <c r="D27" i="10" s="1"/>
  <c r="V25" i="10"/>
  <c r="V29" i="10"/>
  <c r="V33" i="10"/>
  <c r="Z12" i="11"/>
  <c r="J16" i="11"/>
  <c r="F20" i="11"/>
  <c r="F18" i="13"/>
  <c r="R20" i="13"/>
  <c r="X21" i="14"/>
  <c r="L25" i="14"/>
  <c r="F29" i="14"/>
  <c r="J21" i="16"/>
  <c r="V27" i="16"/>
  <c r="V31" i="16"/>
  <c r="X12" i="17"/>
  <c r="R18" i="17"/>
  <c r="J27" i="19"/>
  <c r="X33" i="19"/>
  <c r="R18" i="20"/>
  <c r="V27" i="23"/>
  <c r="V31" i="23"/>
  <c r="X34" i="25"/>
  <c r="F24" i="28"/>
  <c r="F34" i="28"/>
  <c r="F20" i="28"/>
  <c r="J18" i="29"/>
  <c r="V24" i="34"/>
  <c r="V36" i="34"/>
  <c r="V16" i="34"/>
  <c r="V31" i="34"/>
  <c r="V27" i="34"/>
  <c r="V22" i="34"/>
  <c r="T18" i="34"/>
  <c r="V33" i="34"/>
  <c r="V29" i="34"/>
  <c r="V25" i="34"/>
  <c r="V34" i="34"/>
  <c r="V20" i="34"/>
  <c r="Z12" i="34"/>
  <c r="V15" i="34"/>
  <c r="L21" i="34"/>
  <c r="L33" i="40"/>
  <c r="P18" i="5"/>
  <c r="P27" i="5" s="1"/>
  <c r="X21" i="5"/>
  <c r="X22" i="5"/>
  <c r="R24" i="5"/>
  <c r="X25" i="5"/>
  <c r="X29" i="5"/>
  <c r="X33" i="5"/>
  <c r="N16" i="7"/>
  <c r="N20" i="7"/>
  <c r="R29" i="7"/>
  <c r="R22" i="8"/>
  <c r="F27" i="8"/>
  <c r="J18" i="10"/>
  <c r="V22" i="11"/>
  <c r="D18" i="13"/>
  <c r="D27" i="13" s="1"/>
  <c r="R18" i="13"/>
  <c r="L24" i="13"/>
  <c r="X13" i="14"/>
  <c r="X15" i="14"/>
  <c r="R21" i="14"/>
  <c r="F25" i="14"/>
  <c r="J15" i="16"/>
  <c r="L33" i="16"/>
  <c r="D18" i="17"/>
  <c r="D27" i="17" s="1"/>
  <c r="F29" i="17"/>
  <c r="X33" i="17"/>
  <c r="R36" i="17"/>
  <c r="L12" i="19"/>
  <c r="J24" i="19"/>
  <c r="J25" i="19"/>
  <c r="F31" i="19"/>
  <c r="L20" i="20"/>
  <c r="L24" i="20"/>
  <c r="F34" i="20"/>
  <c r="L33" i="22"/>
  <c r="Z12" i="23"/>
  <c r="L25" i="26"/>
  <c r="J18" i="28"/>
  <c r="J36" i="28"/>
  <c r="F16" i="28"/>
  <c r="L20" i="28"/>
  <c r="F27" i="28"/>
  <c r="J33" i="28"/>
  <c r="J34" i="28"/>
  <c r="Z12" i="31"/>
  <c r="J24" i="31"/>
  <c r="X33" i="37"/>
  <c r="L13" i="5"/>
  <c r="R15" i="5"/>
  <c r="V16" i="5"/>
  <c r="V20" i="5"/>
  <c r="R21" i="5"/>
  <c r="R22" i="5"/>
  <c r="R25" i="5"/>
  <c r="R29" i="5"/>
  <c r="R33" i="5"/>
  <c r="V34" i="5"/>
  <c r="X16" i="7"/>
  <c r="X20" i="7"/>
  <c r="L24" i="7"/>
  <c r="X25" i="7"/>
  <c r="V20" i="8"/>
  <c r="R21" i="8"/>
  <c r="R36" i="8"/>
  <c r="T18" i="10"/>
  <c r="Z18" i="10" s="1"/>
  <c r="F24" i="10"/>
  <c r="F25" i="10"/>
  <c r="F29" i="10"/>
  <c r="F33" i="10"/>
  <c r="L13" i="11"/>
  <c r="X16" i="11"/>
  <c r="F21" i="11"/>
  <c r="F15" i="13"/>
  <c r="V18" i="13"/>
  <c r="L22" i="13"/>
  <c r="F24" i="13"/>
  <c r="V15" i="14"/>
  <c r="L24" i="14"/>
  <c r="F36" i="14"/>
  <c r="X21" i="16"/>
  <c r="L25" i="16"/>
  <c r="X34" i="16"/>
  <c r="F20" i="17"/>
  <c r="R33" i="17"/>
  <c r="H18" i="19"/>
  <c r="H27" i="19" s="1"/>
  <c r="H31" i="19" s="1"/>
  <c r="J31" i="19"/>
  <c r="J36" i="19"/>
  <c r="F22" i="20"/>
  <c r="F24" i="20"/>
  <c r="X13" i="22"/>
  <c r="L29" i="22"/>
  <c r="X33" i="22"/>
  <c r="X16" i="23"/>
  <c r="V20" i="23"/>
  <c r="V16" i="26"/>
  <c r="L21" i="26"/>
  <c r="V33" i="26"/>
  <c r="V36" i="26"/>
  <c r="L22" i="28"/>
  <c r="L25" i="28"/>
  <c r="J27" i="28"/>
  <c r="V20" i="31"/>
  <c r="X15" i="37"/>
  <c r="L29" i="37"/>
  <c r="L29" i="38"/>
  <c r="R33" i="22"/>
  <c r="X21" i="23"/>
  <c r="X22" i="23"/>
  <c r="L25" i="23"/>
  <c r="L29" i="23"/>
  <c r="L33" i="23"/>
  <c r="X20" i="26"/>
  <c r="F31" i="26"/>
  <c r="F34" i="26"/>
  <c r="X15" i="28"/>
  <c r="X29" i="28"/>
  <c r="X13" i="29"/>
  <c r="L13" i="31"/>
  <c r="X22" i="31"/>
  <c r="L29" i="31"/>
  <c r="J22" i="32"/>
  <c r="X25" i="32"/>
  <c r="L29" i="32"/>
  <c r="J31" i="32"/>
  <c r="V33" i="32"/>
  <c r="X12" i="34"/>
  <c r="X25" i="34"/>
  <c r="Z12" i="35"/>
  <c r="X22" i="37"/>
  <c r="J29" i="37"/>
  <c r="V31" i="37"/>
  <c r="V34" i="37"/>
  <c r="L12" i="38"/>
  <c r="X16" i="38"/>
  <c r="X34" i="38"/>
  <c r="R15" i="40"/>
  <c r="J18" i="40"/>
  <c r="L20" i="41"/>
  <c r="X34" i="41"/>
  <c r="X13" i="52"/>
  <c r="L21" i="52"/>
  <c r="X22" i="32"/>
  <c r="J29" i="32"/>
  <c r="X24" i="34"/>
  <c r="R25" i="34"/>
  <c r="R29" i="34"/>
  <c r="R33" i="34"/>
  <c r="P18" i="35"/>
  <c r="P27" i="35" s="1"/>
  <c r="R16" i="35"/>
  <c r="R20" i="35"/>
  <c r="X29" i="35"/>
  <c r="F18" i="37"/>
  <c r="J36" i="37"/>
  <c r="R16" i="38"/>
  <c r="F20" i="38"/>
  <c r="P18" i="40"/>
  <c r="P27" i="40" s="1"/>
  <c r="J24" i="40"/>
  <c r="J20" i="41"/>
  <c r="J31" i="41"/>
  <c r="J15" i="41"/>
  <c r="X21" i="31"/>
  <c r="X29" i="31"/>
  <c r="J36" i="32"/>
  <c r="P18" i="34"/>
  <c r="X18" i="34" s="1"/>
  <c r="R22" i="34"/>
  <c r="R15" i="35"/>
  <c r="R22" i="35"/>
  <c r="R25" i="35"/>
  <c r="R29" i="35"/>
  <c r="R33" i="35"/>
  <c r="V34" i="35"/>
  <c r="F15" i="38"/>
  <c r="F22" i="38"/>
  <c r="X25" i="38"/>
  <c r="F36" i="38"/>
  <c r="R18" i="40"/>
  <c r="L22" i="40"/>
  <c r="L25" i="40"/>
  <c r="X29" i="40"/>
  <c r="N12" i="41"/>
  <c r="L13" i="41"/>
  <c r="J21" i="41"/>
  <c r="J25" i="41"/>
  <c r="J27" i="41"/>
  <c r="V34" i="41"/>
  <c r="X24" i="46"/>
  <c r="L16" i="49"/>
  <c r="N33" i="49"/>
  <c r="L33" i="49"/>
  <c r="R20" i="52"/>
  <c r="R36" i="52"/>
  <c r="R21" i="52"/>
  <c r="R18" i="52"/>
  <c r="R29" i="52"/>
  <c r="R25" i="52"/>
  <c r="R24" i="52"/>
  <c r="P18" i="52"/>
  <c r="R33" i="52"/>
  <c r="R22" i="52"/>
  <c r="X12" i="52"/>
  <c r="R15" i="52"/>
  <c r="X34" i="53"/>
  <c r="L33" i="32"/>
  <c r="R18" i="34"/>
  <c r="X20" i="34"/>
  <c r="R21" i="34"/>
  <c r="V16" i="35"/>
  <c r="V20" i="35"/>
  <c r="X24" i="35"/>
  <c r="L16" i="37"/>
  <c r="L20" i="37"/>
  <c r="F21" i="37"/>
  <c r="J33" i="37"/>
  <c r="F34" i="37"/>
  <c r="F21" i="38"/>
  <c r="R34" i="40"/>
  <c r="R16" i="40"/>
  <c r="L20" i="40"/>
  <c r="R29" i="40"/>
  <c r="R36" i="40"/>
  <c r="X16" i="41"/>
  <c r="X20" i="41"/>
  <c r="L21" i="41"/>
  <c r="J22" i="41"/>
  <c r="J24" i="41"/>
  <c r="L25" i="41"/>
  <c r="V27" i="41"/>
  <c r="J36" i="41"/>
  <c r="L25" i="31"/>
  <c r="J15" i="32"/>
  <c r="L16" i="32"/>
  <c r="Z21" i="32"/>
  <c r="F27" i="32"/>
  <c r="J33" i="32"/>
  <c r="J34" i="32"/>
  <c r="R18" i="35"/>
  <c r="X20" i="35"/>
  <c r="V22" i="35"/>
  <c r="J27" i="35"/>
  <c r="J31" i="35"/>
  <c r="L15" i="37"/>
  <c r="F24" i="37"/>
  <c r="F27" i="37"/>
  <c r="L33" i="37"/>
  <c r="F16" i="38"/>
  <c r="D18" i="38"/>
  <c r="F24" i="38"/>
  <c r="F25" i="38"/>
  <c r="R25" i="40"/>
  <c r="N15" i="32"/>
  <c r="J27" i="32"/>
  <c r="L29" i="34"/>
  <c r="L33" i="34"/>
  <c r="R36" i="34"/>
  <c r="L16" i="35"/>
  <c r="V27" i="35"/>
  <c r="V31" i="35"/>
  <c r="R36" i="35"/>
  <c r="N15" i="37"/>
  <c r="J21" i="37"/>
  <c r="J22" i="37"/>
  <c r="J25" i="37"/>
  <c r="L15" i="38"/>
  <c r="F18" i="38"/>
  <c r="X20" i="38"/>
  <c r="R22" i="40"/>
  <c r="X24" i="40"/>
  <c r="J31" i="40"/>
  <c r="X12" i="41"/>
  <c r="V16" i="41"/>
  <c r="V20" i="41"/>
  <c r="V31" i="41"/>
  <c r="L34" i="41"/>
  <c r="X25" i="50"/>
  <c r="X25" i="31"/>
  <c r="N12" i="32"/>
  <c r="J21" i="32"/>
  <c r="L22" i="32"/>
  <c r="J24" i="32"/>
  <c r="J25" i="32"/>
  <c r="X33" i="32"/>
  <c r="R15" i="34"/>
  <c r="L15" i="35"/>
  <c r="L22" i="35"/>
  <c r="L25" i="35"/>
  <c r="L29" i="35"/>
  <c r="L33" i="35"/>
  <c r="J34" i="35"/>
  <c r="X34" i="37"/>
  <c r="R20" i="38"/>
  <c r="F29" i="38"/>
  <c r="L34" i="38"/>
  <c r="R20" i="40"/>
  <c r="J27" i="40"/>
  <c r="J34" i="40"/>
  <c r="Z12" i="41"/>
  <c r="H18" i="41"/>
  <c r="V21" i="41"/>
  <c r="J29" i="41"/>
  <c r="L33" i="41"/>
  <c r="X21" i="44"/>
  <c r="X22" i="43"/>
  <c r="V25" i="43"/>
  <c r="R33" i="43"/>
  <c r="J18" i="44"/>
  <c r="R22" i="44"/>
  <c r="Z13" i="46"/>
  <c r="T18" i="46"/>
  <c r="T27" i="46" s="1"/>
  <c r="Z27" i="46" s="1"/>
  <c r="R36" i="46"/>
  <c r="R20" i="47"/>
  <c r="T18" i="49"/>
  <c r="T27" i="49" s="1"/>
  <c r="F21" i="49"/>
  <c r="X24" i="49"/>
  <c r="V33" i="49"/>
  <c r="J36" i="49"/>
  <c r="V18" i="50"/>
  <c r="F24" i="50"/>
  <c r="L20" i="52"/>
  <c r="V31" i="52"/>
  <c r="X12" i="53"/>
  <c r="P18" i="53"/>
  <c r="X18" i="53" s="1"/>
  <c r="V20" i="53"/>
  <c r="X21" i="53"/>
  <c r="R22" i="53"/>
  <c r="X29" i="53"/>
  <c r="P18" i="92"/>
  <c r="X18" i="92" s="1"/>
  <c r="V21" i="92"/>
  <c r="V34" i="92"/>
  <c r="L21" i="93"/>
  <c r="V22" i="93"/>
  <c r="J25" i="93"/>
  <c r="F31" i="93"/>
  <c r="V33" i="93"/>
  <c r="L16" i="94"/>
  <c r="T18" i="94"/>
  <c r="T27" i="94" s="1"/>
  <c r="T31" i="94" s="1"/>
  <c r="L13" i="43"/>
  <c r="V29" i="43"/>
  <c r="L13" i="44"/>
  <c r="R18" i="44"/>
  <c r="X12" i="46"/>
  <c r="L15" i="46"/>
  <c r="L16" i="46"/>
  <c r="L20" i="46"/>
  <c r="J21" i="46"/>
  <c r="L22" i="46"/>
  <c r="J34" i="46"/>
  <c r="V36" i="46"/>
  <c r="X25" i="47"/>
  <c r="J15" i="49"/>
  <c r="X25" i="49"/>
  <c r="J29" i="49"/>
  <c r="F33" i="49"/>
  <c r="V36" i="49"/>
  <c r="L15" i="50"/>
  <c r="L20" i="50"/>
  <c r="L21" i="50"/>
  <c r="L33" i="50"/>
  <c r="X34" i="50"/>
  <c r="N12" i="52"/>
  <c r="L22" i="52"/>
  <c r="V27" i="52"/>
  <c r="Z12" i="53"/>
  <c r="R18" i="53"/>
  <c r="R21" i="53"/>
  <c r="X22" i="53"/>
  <c r="V25" i="53"/>
  <c r="R29" i="53"/>
  <c r="T18" i="92"/>
  <c r="L21" i="92"/>
  <c r="L25" i="92"/>
  <c r="R29" i="92"/>
  <c r="F21" i="93"/>
  <c r="L24" i="93"/>
  <c r="V31" i="93"/>
  <c r="Z33" i="93"/>
  <c r="V34" i="93"/>
  <c r="J15" i="94"/>
  <c r="F16" i="94"/>
  <c r="V18" i="94"/>
  <c r="V21" i="94"/>
  <c r="V22" i="94"/>
  <c r="F21" i="94"/>
  <c r="L16" i="41"/>
  <c r="X22" i="41"/>
  <c r="X25" i="41"/>
  <c r="P18" i="43"/>
  <c r="L29" i="43"/>
  <c r="V31" i="43"/>
  <c r="R16" i="44"/>
  <c r="F20" i="44"/>
  <c r="L22" i="44"/>
  <c r="F24" i="44"/>
  <c r="X22" i="46"/>
  <c r="R29" i="46"/>
  <c r="X33" i="46"/>
  <c r="R18" i="47"/>
  <c r="X33" i="47"/>
  <c r="V25" i="49"/>
  <c r="J33" i="49"/>
  <c r="L13" i="50"/>
  <c r="R16" i="50"/>
  <c r="X21" i="50"/>
  <c r="X22" i="50"/>
  <c r="X24" i="50"/>
  <c r="X22" i="52"/>
  <c r="L13" i="53"/>
  <c r="V27" i="53"/>
  <c r="V29" i="53"/>
  <c r="J21" i="92"/>
  <c r="N25" i="92"/>
  <c r="V27" i="92"/>
  <c r="V29" i="92"/>
  <c r="N33" i="92"/>
  <c r="R36" i="92"/>
  <c r="V15" i="93"/>
  <c r="L20" i="93"/>
  <c r="J21" i="93"/>
  <c r="F22" i="93"/>
  <c r="X25" i="93"/>
  <c r="F34" i="93"/>
  <c r="J36" i="93"/>
  <c r="F20" i="94"/>
  <c r="V34" i="94"/>
  <c r="R18" i="43"/>
  <c r="V25" i="46"/>
  <c r="R33" i="46"/>
  <c r="F25" i="49"/>
  <c r="X20" i="50"/>
  <c r="R24" i="50"/>
  <c r="L16" i="52"/>
  <c r="V34" i="52"/>
  <c r="X15" i="53"/>
  <c r="R16" i="53"/>
  <c r="J24" i="53"/>
  <c r="J31" i="53"/>
  <c r="V33" i="53"/>
  <c r="R15" i="92"/>
  <c r="R24" i="92"/>
  <c r="J34" i="92"/>
  <c r="V36" i="92"/>
  <c r="Z15" i="93"/>
  <c r="V25" i="93"/>
  <c r="J33" i="93"/>
  <c r="V36" i="93"/>
  <c r="L12" i="94"/>
  <c r="J21" i="94"/>
  <c r="F27" i="94"/>
  <c r="F31" i="94"/>
  <c r="Z13" i="43"/>
  <c r="T18" i="43"/>
  <c r="T27" i="43" s="1"/>
  <c r="T31" i="43" s="1"/>
  <c r="T36" i="43" s="1"/>
  <c r="Z36" i="43" s="1"/>
  <c r="X25" i="43"/>
  <c r="R36" i="43"/>
  <c r="X13" i="44"/>
  <c r="V16" i="44"/>
  <c r="L21" i="44"/>
  <c r="J24" i="44"/>
  <c r="R15" i="46"/>
  <c r="X16" i="46"/>
  <c r="X20" i="46"/>
  <c r="R21" i="46"/>
  <c r="V22" i="46"/>
  <c r="J27" i="46"/>
  <c r="V29" i="46"/>
  <c r="X15" i="47"/>
  <c r="F20" i="47"/>
  <c r="L22" i="47"/>
  <c r="F24" i="47"/>
  <c r="L29" i="47"/>
  <c r="L34" i="47"/>
  <c r="V21" i="49"/>
  <c r="X22" i="49"/>
  <c r="F27" i="49"/>
  <c r="X15" i="50"/>
  <c r="R20" i="50"/>
  <c r="V22" i="50"/>
  <c r="X21" i="52"/>
  <c r="R15" i="53"/>
  <c r="J21" i="53"/>
  <c r="R36" i="53"/>
  <c r="X22" i="92"/>
  <c r="R25" i="92"/>
  <c r="R33" i="92"/>
  <c r="L15" i="93"/>
  <c r="X20" i="93"/>
  <c r="X21" i="93"/>
  <c r="X29" i="93"/>
  <c r="X12" i="94"/>
  <c r="V15" i="94"/>
  <c r="V16" i="94"/>
  <c r="X20" i="94"/>
  <c r="X24" i="94"/>
  <c r="J27" i="94"/>
  <c r="J31" i="94"/>
  <c r="F34" i="94"/>
  <c r="X12" i="43"/>
  <c r="L15" i="43"/>
  <c r="L22" i="43"/>
  <c r="R25" i="43"/>
  <c r="V36" i="43"/>
  <c r="R20" i="44"/>
  <c r="X29" i="44"/>
  <c r="L34" i="44"/>
  <c r="P18" i="46"/>
  <c r="P27" i="46" s="1"/>
  <c r="L25" i="46"/>
  <c r="V27" i="46"/>
  <c r="J31" i="46"/>
  <c r="V33" i="46"/>
  <c r="V34" i="46"/>
  <c r="F22" i="47"/>
  <c r="X29" i="47"/>
  <c r="L12" i="49"/>
  <c r="D18" i="49"/>
  <c r="L24" i="49"/>
  <c r="J25" i="49"/>
  <c r="V29" i="49"/>
  <c r="X33" i="49"/>
  <c r="X13" i="50"/>
  <c r="F18" i="50"/>
  <c r="J16" i="52"/>
  <c r="V33" i="52"/>
  <c r="X13" i="53"/>
  <c r="V16" i="53"/>
  <c r="R20" i="53"/>
  <c r="X24" i="53"/>
  <c r="V36" i="53"/>
  <c r="V15" i="92"/>
  <c r="X34" i="92"/>
  <c r="L16" i="93"/>
  <c r="X22" i="93"/>
  <c r="L25" i="93"/>
  <c r="F27" i="93"/>
  <c r="D18" i="94"/>
  <c r="D27" i="94" s="1"/>
  <c r="D31" i="94" s="1"/>
  <c r="V27" i="94"/>
  <c r="V31" i="94"/>
  <c r="R18" i="46"/>
  <c r="J24" i="47"/>
  <c r="V15" i="53"/>
  <c r="V25" i="92"/>
  <c r="V31" i="92"/>
  <c r="V33" i="92"/>
  <c r="F15" i="94"/>
  <c r="V20" i="94"/>
  <c r="Z158" i="3"/>
  <c r="N162" i="3"/>
  <c r="T22" i="6"/>
  <c r="Z16" i="6"/>
  <c r="R181" i="3"/>
  <c r="R166" i="3"/>
  <c r="R146" i="3"/>
  <c r="R138" i="3"/>
  <c r="R123" i="3"/>
  <c r="R118" i="3"/>
  <c r="R115" i="3"/>
  <c r="R110" i="3"/>
  <c r="R106" i="3"/>
  <c r="R103" i="3"/>
  <c r="R98" i="3"/>
  <c r="R94" i="3"/>
  <c r="R91" i="3"/>
  <c r="R86" i="3"/>
  <c r="R78" i="3"/>
  <c r="R74" i="3"/>
  <c r="R66" i="3"/>
  <c r="R58" i="3"/>
  <c r="R50" i="3"/>
  <c r="R42" i="3"/>
  <c r="R34" i="3"/>
  <c r="R26" i="3"/>
  <c r="X12" i="3"/>
  <c r="Z12" i="3" s="1"/>
  <c r="R171" i="3"/>
  <c r="R162" i="3"/>
  <c r="R158" i="3"/>
  <c r="R145" i="3"/>
  <c r="R141" i="3"/>
  <c r="R137" i="3"/>
  <c r="R109" i="3"/>
  <c r="R97" i="3"/>
  <c r="R85" i="3"/>
  <c r="R77" i="3"/>
  <c r="R73" i="3"/>
  <c r="R57" i="3"/>
  <c r="R49" i="3"/>
  <c r="R41" i="3"/>
  <c r="R33" i="3"/>
  <c r="R95" i="3"/>
  <c r="R168" i="3"/>
  <c r="R152" i="3"/>
  <c r="R144" i="3"/>
  <c r="R140" i="3"/>
  <c r="R136" i="3"/>
  <c r="R132" i="3"/>
  <c r="R120" i="3"/>
  <c r="R117" i="3"/>
  <c r="R112" i="3"/>
  <c r="R105" i="3"/>
  <c r="R100" i="3"/>
  <c r="R93" i="3"/>
  <c r="R88" i="3"/>
  <c r="R84" i="3"/>
  <c r="R72" i="3"/>
  <c r="R65" i="3"/>
  <c r="R56" i="3"/>
  <c r="R48" i="3"/>
  <c r="R40" i="3"/>
  <c r="R32" i="3"/>
  <c r="R25" i="3"/>
  <c r="R156" i="3"/>
  <c r="R128" i="3"/>
  <c r="R173" i="3"/>
  <c r="R155" i="3"/>
  <c r="R151" i="3"/>
  <c r="R143" i="3"/>
  <c r="R135" i="3"/>
  <c r="R131" i="3"/>
  <c r="R127" i="3"/>
  <c r="R108" i="3"/>
  <c r="R96" i="3"/>
  <c r="R83" i="3"/>
  <c r="R76" i="3"/>
  <c r="R71" i="3"/>
  <c r="R62" i="3"/>
  <c r="R55" i="3"/>
  <c r="R47" i="3"/>
  <c r="R39" i="3"/>
  <c r="R31" i="3"/>
  <c r="R59" i="3"/>
  <c r="R35" i="3"/>
  <c r="R182" i="3"/>
  <c r="R170" i="3"/>
  <c r="R165" i="3"/>
  <c r="R154" i="3"/>
  <c r="R150" i="3"/>
  <c r="R139" i="3"/>
  <c r="R134" i="3"/>
  <c r="R130" i="3"/>
  <c r="R126" i="3"/>
  <c r="R122" i="3"/>
  <c r="R119" i="3"/>
  <c r="R114" i="3"/>
  <c r="R111" i="3"/>
  <c r="R102" i="3"/>
  <c r="R99" i="3"/>
  <c r="R90" i="3"/>
  <c r="R87" i="3"/>
  <c r="R82" i="3"/>
  <c r="R70" i="3"/>
  <c r="P62" i="3"/>
  <c r="R54" i="3"/>
  <c r="R46" i="3"/>
  <c r="R38" i="3"/>
  <c r="R30" i="3"/>
  <c r="R36" i="3"/>
  <c r="R28" i="3"/>
  <c r="R79" i="3"/>
  <c r="R67" i="3"/>
  <c r="R43" i="3"/>
  <c r="R167" i="3"/>
  <c r="R161" i="3"/>
  <c r="R157" i="3"/>
  <c r="R149" i="3"/>
  <c r="R142" i="3"/>
  <c r="R129" i="3"/>
  <c r="R125" i="3"/>
  <c r="R81" i="3"/>
  <c r="R69" i="3"/>
  <c r="R53" i="3"/>
  <c r="R45" i="3"/>
  <c r="R37" i="3"/>
  <c r="R29" i="3"/>
  <c r="R177" i="3"/>
  <c r="R163" i="3"/>
  <c r="R159" i="3"/>
  <c r="R75" i="3"/>
  <c r="R64" i="3"/>
  <c r="R51" i="3"/>
  <c r="R27" i="3"/>
  <c r="R172" i="3"/>
  <c r="R160" i="3"/>
  <c r="R153" i="3"/>
  <c r="R148" i="3"/>
  <c r="R133" i="3"/>
  <c r="R124" i="3"/>
  <c r="R121" i="3"/>
  <c r="R116" i="3"/>
  <c r="R113" i="3"/>
  <c r="R104" i="3"/>
  <c r="R101" i="3"/>
  <c r="R92" i="3"/>
  <c r="R89" i="3"/>
  <c r="R80" i="3"/>
  <c r="R68" i="3"/>
  <c r="R60" i="3"/>
  <c r="R52" i="3"/>
  <c r="R44" i="3"/>
  <c r="R169" i="3"/>
  <c r="R147" i="3"/>
  <c r="R107" i="3"/>
  <c r="Z28" i="6"/>
  <c r="Z64" i="3"/>
  <c r="N76" i="3"/>
  <c r="Z162" i="3"/>
  <c r="Z91" i="3"/>
  <c r="N93" i="3"/>
  <c r="Z128" i="3"/>
  <c r="N65" i="3"/>
  <c r="N108" i="3"/>
  <c r="P22" i="6"/>
  <c r="X16" i="6"/>
  <c r="N28" i="6"/>
  <c r="N33" i="13"/>
  <c r="L33" i="13"/>
  <c r="X15" i="15"/>
  <c r="P12" i="15"/>
  <c r="J20" i="5"/>
  <c r="V43" i="3"/>
  <c r="J47" i="3"/>
  <c r="V51" i="3"/>
  <c r="J55" i="3"/>
  <c r="V59" i="3"/>
  <c r="J65" i="3"/>
  <c r="V67" i="3"/>
  <c r="J71" i="3"/>
  <c r="V75" i="3"/>
  <c r="V79" i="3"/>
  <c r="J83" i="3"/>
  <c r="V91" i="3"/>
  <c r="J93" i="3"/>
  <c r="V95" i="3"/>
  <c r="V103" i="3"/>
  <c r="J105" i="3"/>
  <c r="V107" i="3"/>
  <c r="V115" i="3"/>
  <c r="J117" i="3"/>
  <c r="V123" i="3"/>
  <c r="J127" i="3"/>
  <c r="J131" i="3"/>
  <c r="J135" i="3"/>
  <c r="J143" i="3"/>
  <c r="V147" i="3"/>
  <c r="J151" i="3"/>
  <c r="J155" i="3"/>
  <c r="V159" i="3"/>
  <c r="V163" i="3"/>
  <c r="X166" i="3"/>
  <c r="J168" i="3"/>
  <c r="V169" i="3"/>
  <c r="V177" i="3"/>
  <c r="V181" i="3"/>
  <c r="N12" i="4"/>
  <c r="X15" i="4"/>
  <c r="F18" i="4"/>
  <c r="J22" i="4"/>
  <c r="R24" i="4"/>
  <c r="L12" i="5"/>
  <c r="F15" i="5"/>
  <c r="D18" i="5"/>
  <c r="T18" i="5"/>
  <c r="F25" i="5"/>
  <c r="F29" i="5"/>
  <c r="F33" i="5"/>
  <c r="F36" i="5"/>
  <c r="L12" i="6"/>
  <c r="X14" i="6"/>
  <c r="J15" i="7"/>
  <c r="H18" i="7"/>
  <c r="F21" i="7"/>
  <c r="J24" i="7"/>
  <c r="F36" i="7"/>
  <c r="Z13" i="8"/>
  <c r="L24" i="8"/>
  <c r="N16" i="9"/>
  <c r="H97" i="9"/>
  <c r="X53" i="9"/>
  <c r="N55" i="9"/>
  <c r="Z89" i="9"/>
  <c r="X15" i="11"/>
  <c r="N79" i="12"/>
  <c r="J96" i="12"/>
  <c r="J108" i="12"/>
  <c r="Z109" i="12"/>
  <c r="X109" i="12"/>
  <c r="N111" i="12"/>
  <c r="L111" i="12"/>
  <c r="J140" i="12"/>
  <c r="Z21" i="13"/>
  <c r="X21" i="13"/>
  <c r="D27" i="14"/>
  <c r="F81" i="15"/>
  <c r="F121" i="15"/>
  <c r="N124" i="15"/>
  <c r="D12" i="3"/>
  <c r="X18" i="3"/>
  <c r="J32" i="3"/>
  <c r="V36" i="3"/>
  <c r="J40" i="3"/>
  <c r="V44" i="3"/>
  <c r="J48" i="3"/>
  <c r="V52" i="3"/>
  <c r="J56" i="3"/>
  <c r="V60" i="3"/>
  <c r="V64" i="3"/>
  <c r="V68" i="3"/>
  <c r="J72" i="3"/>
  <c r="V80" i="3"/>
  <c r="J84" i="3"/>
  <c r="J88" i="3"/>
  <c r="V92" i="3"/>
  <c r="J100" i="3"/>
  <c r="V104" i="3"/>
  <c r="J112" i="3"/>
  <c r="V116" i="3"/>
  <c r="J120" i="3"/>
  <c r="V124" i="3"/>
  <c r="V128" i="3"/>
  <c r="J132" i="3"/>
  <c r="J136" i="3"/>
  <c r="J140" i="3"/>
  <c r="J144" i="3"/>
  <c r="V148" i="3"/>
  <c r="J152" i="3"/>
  <c r="V156" i="3"/>
  <c r="J158" i="3"/>
  <c r="V160" i="3"/>
  <c r="J162" i="3"/>
  <c r="J171" i="3"/>
  <c r="V172" i="3"/>
  <c r="J15" i="4"/>
  <c r="H18" i="4"/>
  <c r="F21" i="4"/>
  <c r="J25" i="4"/>
  <c r="R27" i="4"/>
  <c r="J29" i="4"/>
  <c r="R31" i="4"/>
  <c r="J33" i="4"/>
  <c r="R34" i="4"/>
  <c r="J36" i="4"/>
  <c r="N12" i="5"/>
  <c r="X15" i="5"/>
  <c r="F18" i="5"/>
  <c r="J22" i="5"/>
  <c r="N12" i="6"/>
  <c r="J14" i="6"/>
  <c r="Z14" i="6"/>
  <c r="J18" i="6"/>
  <c r="J22" i="6"/>
  <c r="J28" i="6"/>
  <c r="J31" i="6"/>
  <c r="V24" i="7"/>
  <c r="V34" i="7"/>
  <c r="V31" i="7"/>
  <c r="V27" i="7"/>
  <c r="R16" i="7"/>
  <c r="J18" i="7"/>
  <c r="R20" i="7"/>
  <c r="R22" i="7"/>
  <c r="F25" i="7"/>
  <c r="V29" i="7"/>
  <c r="R31" i="7"/>
  <c r="R33" i="7"/>
  <c r="J36" i="7"/>
  <c r="Z53" i="9"/>
  <c r="Z76" i="9"/>
  <c r="X97" i="12"/>
  <c r="Z97" i="12" s="1"/>
  <c r="N123" i="12"/>
  <c r="N29" i="13"/>
  <c r="L29" i="13"/>
  <c r="Z52" i="15"/>
  <c r="Z79" i="15"/>
  <c r="N81" i="15"/>
  <c r="N112" i="15"/>
  <c r="N121" i="15"/>
  <c r="J25" i="3"/>
  <c r="V35" i="3"/>
  <c r="V28" i="3"/>
  <c r="V29" i="3"/>
  <c r="J33" i="3"/>
  <c r="V37" i="3"/>
  <c r="J41" i="3"/>
  <c r="V45" i="3"/>
  <c r="J49" i="3"/>
  <c r="V53" i="3"/>
  <c r="J57" i="3"/>
  <c r="V69" i="3"/>
  <c r="J73" i="3"/>
  <c r="J77" i="3"/>
  <c r="V81" i="3"/>
  <c r="J85" i="3"/>
  <c r="V89" i="3"/>
  <c r="J91" i="3"/>
  <c r="J97" i="3"/>
  <c r="V101" i="3"/>
  <c r="J103" i="3"/>
  <c r="J109" i="3"/>
  <c r="V113" i="3"/>
  <c r="J115" i="3"/>
  <c r="V121" i="3"/>
  <c r="J123" i="3"/>
  <c r="V125" i="3"/>
  <c r="V129" i="3"/>
  <c r="V133" i="3"/>
  <c r="J137" i="3"/>
  <c r="J141" i="3"/>
  <c r="J145" i="3"/>
  <c r="V149" i="3"/>
  <c r="V153" i="3"/>
  <c r="V157" i="3"/>
  <c r="V161" i="3"/>
  <c r="J166" i="3"/>
  <c r="V167" i="3"/>
  <c r="J181" i="3"/>
  <c r="R16" i="4"/>
  <c r="J18" i="4"/>
  <c r="R20" i="4"/>
  <c r="F24" i="4"/>
  <c r="V24" i="4"/>
  <c r="J15" i="5"/>
  <c r="H18" i="5"/>
  <c r="F21" i="5"/>
  <c r="V21" i="5"/>
  <c r="J25" i="5"/>
  <c r="R27" i="5"/>
  <c r="J29" i="5"/>
  <c r="R31" i="5"/>
  <c r="J33" i="5"/>
  <c r="R34" i="5"/>
  <c r="J36" i="5"/>
  <c r="D16" i="6"/>
  <c r="F24" i="6"/>
  <c r="X12" i="7"/>
  <c r="J21" i="7"/>
  <c r="L29" i="7"/>
  <c r="X21" i="8"/>
  <c r="X22" i="8"/>
  <c r="Z55" i="9"/>
  <c r="Z73" i="9"/>
  <c r="X25" i="11"/>
  <c r="J44" i="12"/>
  <c r="Z56" i="12"/>
  <c r="Z79" i="12"/>
  <c r="N131" i="12"/>
  <c r="Z144" i="12"/>
  <c r="F142" i="15"/>
  <c r="F138" i="15"/>
  <c r="F145" i="15"/>
  <c r="F135" i="15"/>
  <c r="F136" i="15"/>
  <c r="F131" i="15"/>
  <c r="F71" i="15"/>
  <c r="F59" i="15"/>
  <c r="F43" i="15"/>
  <c r="F35" i="15"/>
  <c r="F27" i="15"/>
  <c r="F146" i="15"/>
  <c r="F133" i="15"/>
  <c r="F129" i="15"/>
  <c r="F124" i="15"/>
  <c r="F112" i="15"/>
  <c r="F96" i="15"/>
  <c r="F84" i="15"/>
  <c r="F69" i="15"/>
  <c r="F64" i="15"/>
  <c r="F57" i="15"/>
  <c r="F41" i="15"/>
  <c r="F33" i="15"/>
  <c r="F25" i="15"/>
  <c r="F128" i="15"/>
  <c r="F120" i="15"/>
  <c r="F116" i="15"/>
  <c r="F107" i="15"/>
  <c r="F104" i="15"/>
  <c r="F99" i="15"/>
  <c r="F92" i="15"/>
  <c r="F87" i="15"/>
  <c r="F80" i="15"/>
  <c r="F75" i="15"/>
  <c r="F68" i="15"/>
  <c r="F56" i="15"/>
  <c r="D50" i="15"/>
  <c r="F48" i="15"/>
  <c r="F40" i="15"/>
  <c r="F32" i="15"/>
  <c r="F24" i="15"/>
  <c r="F127" i="15"/>
  <c r="F123" i="15"/>
  <c r="F119" i="15"/>
  <c r="F115" i="15"/>
  <c r="F111" i="15"/>
  <c r="F95" i="15"/>
  <c r="F83" i="15"/>
  <c r="F67" i="15"/>
  <c r="F63" i="15"/>
  <c r="F55" i="15"/>
  <c r="F47" i="15"/>
  <c r="F39" i="15"/>
  <c r="F31" i="15"/>
  <c r="F23" i="15"/>
  <c r="F153" i="15"/>
  <c r="F126" i="15"/>
  <c r="F122" i="15"/>
  <c r="F118" i="15"/>
  <c r="F114" i="15"/>
  <c r="F110" i="15"/>
  <c r="F106" i="15"/>
  <c r="F101" i="15"/>
  <c r="F98" i="15"/>
  <c r="F94" i="15"/>
  <c r="F89" i="15"/>
  <c r="F86" i="15"/>
  <c r="F82" i="15"/>
  <c r="F77" i="15"/>
  <c r="F74" i="15"/>
  <c r="F66" i="15"/>
  <c r="F62" i="15"/>
  <c r="F54" i="15"/>
  <c r="F46" i="15"/>
  <c r="F38" i="15"/>
  <c r="F30" i="15"/>
  <c r="F22" i="15"/>
  <c r="F149" i="15"/>
  <c r="F141" i="15"/>
  <c r="F139" i="15"/>
  <c r="F132" i="15"/>
  <c r="F125" i="15"/>
  <c r="F113" i="15"/>
  <c r="F109" i="15"/>
  <c r="F97" i="15"/>
  <c r="F85" i="15"/>
  <c r="F73" i="15"/>
  <c r="F65" i="15"/>
  <c r="F61" i="15"/>
  <c r="F52" i="15"/>
  <c r="F45" i="15"/>
  <c r="F37" i="15"/>
  <c r="F29" i="15"/>
  <c r="F148" i="15"/>
  <c r="F140" i="15"/>
  <c r="F137" i="15"/>
  <c r="F108" i="15"/>
  <c r="F103" i="15"/>
  <c r="F100" i="15"/>
  <c r="F91" i="15"/>
  <c r="F88" i="15"/>
  <c r="F79" i="15"/>
  <c r="F76" i="15"/>
  <c r="F72" i="15"/>
  <c r="F60" i="15"/>
  <c r="F44" i="15"/>
  <c r="F36" i="15"/>
  <c r="F28" i="15"/>
  <c r="F21" i="15"/>
  <c r="F70" i="15"/>
  <c r="Z124" i="15"/>
  <c r="F147" i="15"/>
  <c r="V27" i="3"/>
  <c r="J26" i="3"/>
  <c r="V30" i="3"/>
  <c r="J34" i="3"/>
  <c r="V38" i="3"/>
  <c r="J42" i="3"/>
  <c r="V46" i="3"/>
  <c r="J50" i="3"/>
  <c r="V54" i="3"/>
  <c r="J58" i="3"/>
  <c r="J64" i="3"/>
  <c r="J66" i="3"/>
  <c r="V70" i="3"/>
  <c r="J74" i="3"/>
  <c r="J78" i="3"/>
  <c r="V82" i="3"/>
  <c r="J86" i="3"/>
  <c r="V90" i="3"/>
  <c r="J94" i="3"/>
  <c r="J98" i="3"/>
  <c r="V102" i="3"/>
  <c r="J106" i="3"/>
  <c r="J110" i="3"/>
  <c r="V114" i="3"/>
  <c r="J118" i="3"/>
  <c r="V122" i="3"/>
  <c r="V126" i="3"/>
  <c r="J128" i="3"/>
  <c r="V130" i="3"/>
  <c r="V134" i="3"/>
  <c r="J138" i="3"/>
  <c r="V142" i="3"/>
  <c r="J146" i="3"/>
  <c r="V150" i="3"/>
  <c r="V154" i="3"/>
  <c r="J156" i="3"/>
  <c r="D165" i="3"/>
  <c r="L165" i="3" s="1"/>
  <c r="N165" i="3" s="1"/>
  <c r="J169" i="3"/>
  <c r="V170" i="3"/>
  <c r="X12" i="4"/>
  <c r="J21" i="4"/>
  <c r="F27" i="4"/>
  <c r="V27" i="4"/>
  <c r="F31" i="4"/>
  <c r="V31" i="4"/>
  <c r="F34" i="4"/>
  <c r="R16" i="5"/>
  <c r="J18" i="5"/>
  <c r="F24" i="5"/>
  <c r="F16" i="6"/>
  <c r="V16" i="6"/>
  <c r="F20" i="6"/>
  <c r="V20" i="6"/>
  <c r="J24" i="6"/>
  <c r="F26" i="6"/>
  <c r="V26" i="6"/>
  <c r="Z12" i="7"/>
  <c r="F16" i="7"/>
  <c r="V16" i="7"/>
  <c r="F20" i="7"/>
  <c r="V20" i="7"/>
  <c r="V22" i="7"/>
  <c r="X24" i="7"/>
  <c r="J25" i="7"/>
  <c r="J27" i="7"/>
  <c r="V33" i="7"/>
  <c r="R34" i="7"/>
  <c r="R36" i="7"/>
  <c r="F21" i="8"/>
  <c r="F36" i="8"/>
  <c r="F33" i="8"/>
  <c r="F29" i="8"/>
  <c r="F25" i="8"/>
  <c r="D18" i="8"/>
  <c r="F15" i="8"/>
  <c r="L12" i="8"/>
  <c r="F22" i="8"/>
  <c r="F20" i="8"/>
  <c r="F16" i="8"/>
  <c r="F24" i="8"/>
  <c r="L33" i="8"/>
  <c r="F34" i="8"/>
  <c r="P16" i="9"/>
  <c r="X14" i="9"/>
  <c r="L63" i="9"/>
  <c r="N63" i="9" s="1"/>
  <c r="J34" i="11"/>
  <c r="J31" i="11"/>
  <c r="J27" i="11"/>
  <c r="J24" i="11"/>
  <c r="J21" i="11"/>
  <c r="J18" i="11"/>
  <c r="J36" i="11"/>
  <c r="J33" i="11"/>
  <c r="J29" i="11"/>
  <c r="J25" i="11"/>
  <c r="H18" i="11"/>
  <c r="J15" i="11"/>
  <c r="J22" i="11"/>
  <c r="N12" i="11"/>
  <c r="J154" i="12"/>
  <c r="J141" i="12"/>
  <c r="J137" i="12"/>
  <c r="J131" i="12"/>
  <c r="J123" i="12"/>
  <c r="J111" i="12"/>
  <c r="J103" i="12"/>
  <c r="J91" i="12"/>
  <c r="J79" i="12"/>
  <c r="J73" i="12"/>
  <c r="J61" i="12"/>
  <c r="H54" i="12"/>
  <c r="J45" i="12"/>
  <c r="J37" i="12"/>
  <c r="J29" i="12"/>
  <c r="J23" i="12"/>
  <c r="J156" i="12"/>
  <c r="J151" i="12"/>
  <c r="J147" i="12"/>
  <c r="J143" i="12"/>
  <c r="J135" i="12"/>
  <c r="J127" i="12"/>
  <c r="J113" i="12"/>
  <c r="J105" i="12"/>
  <c r="J99" i="12"/>
  <c r="J93" i="12"/>
  <c r="J87" i="12"/>
  <c r="J81" i="12"/>
  <c r="J71" i="12"/>
  <c r="J67" i="12"/>
  <c r="J59" i="12"/>
  <c r="J51" i="12"/>
  <c r="J43" i="12"/>
  <c r="J35" i="12"/>
  <c r="J27" i="12"/>
  <c r="J153" i="12"/>
  <c r="J146" i="12"/>
  <c r="J134" i="12"/>
  <c r="J130" i="12"/>
  <c r="J126" i="12"/>
  <c r="J122" i="12"/>
  <c r="J110" i="12"/>
  <c r="J102" i="12"/>
  <c r="J98" i="12"/>
  <c r="J90" i="12"/>
  <c r="J86" i="12"/>
  <c r="J78" i="12"/>
  <c r="J70" i="12"/>
  <c r="J66" i="12"/>
  <c r="J58" i="12"/>
  <c r="J56" i="12"/>
  <c r="J50" i="12"/>
  <c r="J42" i="12"/>
  <c r="J34" i="12"/>
  <c r="J26" i="12"/>
  <c r="J149" i="12"/>
  <c r="J145" i="12"/>
  <c r="J139" i="12"/>
  <c r="J133" i="12"/>
  <c r="J129" i="12"/>
  <c r="J125" i="12"/>
  <c r="J121" i="12"/>
  <c r="J117" i="12"/>
  <c r="J107" i="12"/>
  <c r="J101" i="12"/>
  <c r="J95" i="12"/>
  <c r="J89" i="12"/>
  <c r="J83" i="12"/>
  <c r="J77" i="12"/>
  <c r="J69" i="12"/>
  <c r="J65" i="12"/>
  <c r="J49" i="12"/>
  <c r="J41" i="12"/>
  <c r="J33" i="12"/>
  <c r="J25" i="12"/>
  <c r="J160" i="12"/>
  <c r="J155" i="12"/>
  <c r="J142" i="12"/>
  <c r="J132" i="12"/>
  <c r="J124" i="12"/>
  <c r="J120" i="12"/>
  <c r="J116" i="12"/>
  <c r="J112" i="12"/>
  <c r="J104" i="12"/>
  <c r="J92" i="12"/>
  <c r="J80" i="12"/>
  <c r="J76" i="12"/>
  <c r="J64" i="12"/>
  <c r="J48" i="12"/>
  <c r="J40" i="12"/>
  <c r="J32" i="12"/>
  <c r="J24" i="12"/>
  <c r="J152" i="12"/>
  <c r="J119" i="12"/>
  <c r="J115" i="12"/>
  <c r="J109" i="12"/>
  <c r="J97" i="12"/>
  <c r="J85" i="12"/>
  <c r="J75" i="12"/>
  <c r="J63" i="12"/>
  <c r="J57" i="12"/>
  <c r="J47" i="12"/>
  <c r="J39" i="12"/>
  <c r="J31" i="12"/>
  <c r="J148" i="12"/>
  <c r="J144" i="12"/>
  <c r="J138" i="12"/>
  <c r="J128" i="12"/>
  <c r="J114" i="12"/>
  <c r="J106" i="12"/>
  <c r="J100" i="12"/>
  <c r="J94" i="12"/>
  <c r="J88" i="12"/>
  <c r="J82" i="12"/>
  <c r="J74" i="12"/>
  <c r="J68" i="12"/>
  <c r="J62" i="12"/>
  <c r="J54" i="12"/>
  <c r="J46" i="12"/>
  <c r="J38" i="12"/>
  <c r="J30" i="12"/>
  <c r="Z123" i="12"/>
  <c r="N148" i="12"/>
  <c r="N25" i="13"/>
  <c r="L25" i="13"/>
  <c r="N22" i="14"/>
  <c r="L22" i="14"/>
  <c r="N21" i="15"/>
  <c r="F34" i="15"/>
  <c r="L64" i="15"/>
  <c r="F105" i="15"/>
  <c r="F117" i="15"/>
  <c r="V31" i="3"/>
  <c r="V39" i="3"/>
  <c r="J43" i="3"/>
  <c r="V47" i="3"/>
  <c r="J51" i="3"/>
  <c r="V55" i="3"/>
  <c r="J59" i="3"/>
  <c r="T62" i="3"/>
  <c r="J67" i="3"/>
  <c r="V71" i="3"/>
  <c r="J75" i="3"/>
  <c r="J79" i="3"/>
  <c r="V83" i="3"/>
  <c r="V87" i="3"/>
  <c r="J89" i="3"/>
  <c r="J95" i="3"/>
  <c r="V99" i="3"/>
  <c r="J101" i="3"/>
  <c r="J107" i="3"/>
  <c r="V111" i="3"/>
  <c r="J113" i="3"/>
  <c r="V119" i="3"/>
  <c r="J121" i="3"/>
  <c r="V127" i="3"/>
  <c r="V131" i="3"/>
  <c r="J133" i="3"/>
  <c r="V135" i="3"/>
  <c r="V139" i="3"/>
  <c r="V143" i="3"/>
  <c r="J147" i="3"/>
  <c r="V151" i="3"/>
  <c r="J153" i="3"/>
  <c r="V155" i="3"/>
  <c r="J159" i="3"/>
  <c r="J163" i="3"/>
  <c r="V165" i="3"/>
  <c r="J172" i="3"/>
  <c r="V173" i="3"/>
  <c r="J177" i="3"/>
  <c r="V182" i="3"/>
  <c r="F16" i="4"/>
  <c r="F20" i="4"/>
  <c r="J24" i="4"/>
  <c r="J21" i="5"/>
  <c r="F27" i="5"/>
  <c r="F31" i="5"/>
  <c r="F34" i="5"/>
  <c r="H16" i="6"/>
  <c r="F24" i="7"/>
  <c r="F34" i="7"/>
  <c r="F31" i="7"/>
  <c r="F27" i="7"/>
  <c r="R15" i="7"/>
  <c r="P18" i="7"/>
  <c r="F22" i="7"/>
  <c r="R24" i="7"/>
  <c r="N57" i="9"/>
  <c r="X61" i="9"/>
  <c r="N81" i="12"/>
  <c r="N151" i="12"/>
  <c r="N15" i="13"/>
  <c r="L15" i="13"/>
  <c r="L13" i="14"/>
  <c r="H151" i="15"/>
  <c r="F53" i="15"/>
  <c r="F58" i="15"/>
  <c r="N64" i="15"/>
  <c r="N105" i="15"/>
  <c r="N117" i="15"/>
  <c r="F134" i="15"/>
  <c r="Z141" i="15"/>
  <c r="V32" i="3"/>
  <c r="V40" i="3"/>
  <c r="V48" i="3"/>
  <c r="J52" i="3"/>
  <c r="V56" i="3"/>
  <c r="J60" i="3"/>
  <c r="V62" i="3"/>
  <c r="J68" i="3"/>
  <c r="V72" i="3"/>
  <c r="V76" i="3"/>
  <c r="J80" i="3"/>
  <c r="V84" i="3"/>
  <c r="V88" i="3"/>
  <c r="J92" i="3"/>
  <c r="V96" i="3"/>
  <c r="V100" i="3"/>
  <c r="J104" i="3"/>
  <c r="V108" i="3"/>
  <c r="V112" i="3"/>
  <c r="J116" i="3"/>
  <c r="V120" i="3"/>
  <c r="J124" i="3"/>
  <c r="V132" i="3"/>
  <c r="V136" i="3"/>
  <c r="V140" i="3"/>
  <c r="J142" i="3"/>
  <c r="V144" i="3"/>
  <c r="J148" i="3"/>
  <c r="V152" i="3"/>
  <c r="J160" i="3"/>
  <c r="J167" i="3"/>
  <c r="V168" i="3"/>
  <c r="R25" i="4"/>
  <c r="J27" i="4"/>
  <c r="R29" i="4"/>
  <c r="J31" i="4"/>
  <c r="R33" i="4"/>
  <c r="J34" i="4"/>
  <c r="X13" i="5"/>
  <c r="F16" i="5"/>
  <c r="J24" i="5"/>
  <c r="J16" i="6"/>
  <c r="J20" i="6"/>
  <c r="J26" i="6"/>
  <c r="J16" i="7"/>
  <c r="R18" i="7"/>
  <c r="J20" i="7"/>
  <c r="X21" i="7"/>
  <c r="R25" i="7"/>
  <c r="J29" i="7"/>
  <c r="J31" i="7"/>
  <c r="F33" i="7"/>
  <c r="V36" i="7"/>
  <c r="Z61" i="9"/>
  <c r="L91" i="12"/>
  <c r="N91" i="12" s="1"/>
  <c r="L103" i="12"/>
  <c r="N103" i="12" s="1"/>
  <c r="N118" i="12"/>
  <c r="Z128" i="12"/>
  <c r="F130" i="15"/>
  <c r="H31" i="23"/>
  <c r="N27" i="23"/>
  <c r="J16" i="5"/>
  <c r="V25" i="3"/>
  <c r="V33" i="3"/>
  <c r="V41" i="3"/>
  <c r="V49" i="3"/>
  <c r="J53" i="3"/>
  <c r="V57" i="3"/>
  <c r="H62" i="3"/>
  <c r="V65" i="3"/>
  <c r="J69" i="3"/>
  <c r="V73" i="3"/>
  <c r="V77" i="3"/>
  <c r="J81" i="3"/>
  <c r="V85" i="3"/>
  <c r="J87" i="3"/>
  <c r="V93" i="3"/>
  <c r="V97" i="3"/>
  <c r="J99" i="3"/>
  <c r="V105" i="3"/>
  <c r="V109" i="3"/>
  <c r="J111" i="3"/>
  <c r="V117" i="3"/>
  <c r="J119" i="3"/>
  <c r="J125" i="3"/>
  <c r="J129" i="3"/>
  <c r="V137" i="3"/>
  <c r="J139" i="3"/>
  <c r="V141" i="3"/>
  <c r="V145" i="3"/>
  <c r="J149" i="3"/>
  <c r="J157" i="3"/>
  <c r="J161" i="3"/>
  <c r="J165" i="3"/>
  <c r="J170" i="3"/>
  <c r="J16" i="4"/>
  <c r="J27" i="5"/>
  <c r="J31" i="5"/>
  <c r="L12" i="7"/>
  <c r="F15" i="7"/>
  <c r="V15" i="7"/>
  <c r="D18" i="7"/>
  <c r="T18" i="7"/>
  <c r="L20" i="8"/>
  <c r="Z44" i="9"/>
  <c r="Z63" i="9"/>
  <c r="L79" i="9"/>
  <c r="N79" i="9" s="1"/>
  <c r="L91" i="9"/>
  <c r="N91" i="9" s="1"/>
  <c r="L13" i="10"/>
  <c r="X33" i="11"/>
  <c r="L13" i="12"/>
  <c r="N13" i="12" s="1"/>
  <c r="D12" i="12"/>
  <c r="X16" i="12"/>
  <c r="P12" i="12"/>
  <c r="N23" i="12"/>
  <c r="X57" i="12"/>
  <c r="Z57" i="12" s="1"/>
  <c r="Z85" i="12"/>
  <c r="Z95" i="12"/>
  <c r="J118" i="12"/>
  <c r="Z139" i="12"/>
  <c r="Z64" i="15"/>
  <c r="N96" i="15"/>
  <c r="Z33" i="16"/>
  <c r="X33" i="16"/>
  <c r="R16" i="8"/>
  <c r="J18" i="8"/>
  <c r="R20" i="8"/>
  <c r="V24" i="8"/>
  <c r="F16" i="9"/>
  <c r="V16" i="9"/>
  <c r="J22" i="9"/>
  <c r="F23" i="9"/>
  <c r="V26" i="9"/>
  <c r="R27" i="9"/>
  <c r="J30" i="9"/>
  <c r="J34" i="9"/>
  <c r="F35" i="9"/>
  <c r="V38" i="9"/>
  <c r="R39" i="9"/>
  <c r="F42" i="9"/>
  <c r="V42" i="9"/>
  <c r="R43" i="9"/>
  <c r="J44" i="9"/>
  <c r="F47" i="9"/>
  <c r="R48" i="9"/>
  <c r="J50" i="9"/>
  <c r="V54" i="9"/>
  <c r="J58" i="9"/>
  <c r="V62" i="9"/>
  <c r="V66" i="9"/>
  <c r="R67" i="9"/>
  <c r="J68" i="9"/>
  <c r="V70" i="9"/>
  <c r="R71" i="9"/>
  <c r="V74" i="9"/>
  <c r="R75" i="9"/>
  <c r="J76" i="9"/>
  <c r="V78" i="9"/>
  <c r="V82" i="9"/>
  <c r="R83" i="9"/>
  <c r="F86" i="9"/>
  <c r="V86" i="9"/>
  <c r="R87" i="9"/>
  <c r="V90" i="9"/>
  <c r="J15" i="10"/>
  <c r="H18" i="10"/>
  <c r="F21" i="10"/>
  <c r="V21" i="10"/>
  <c r="J25" i="10"/>
  <c r="R27" i="10"/>
  <c r="J29" i="10"/>
  <c r="R31" i="10"/>
  <c r="J33" i="10"/>
  <c r="R34" i="10"/>
  <c r="J36" i="10"/>
  <c r="F18" i="11"/>
  <c r="V18" i="11"/>
  <c r="R24" i="11"/>
  <c r="V26" i="12"/>
  <c r="V34" i="12"/>
  <c r="V42" i="12"/>
  <c r="V50" i="12"/>
  <c r="V58" i="12"/>
  <c r="V66" i="12"/>
  <c r="V70" i="12"/>
  <c r="V78" i="12"/>
  <c r="V86" i="12"/>
  <c r="V90" i="12"/>
  <c r="V98" i="12"/>
  <c r="V102" i="12"/>
  <c r="V110" i="12"/>
  <c r="V122" i="12"/>
  <c r="V126" i="12"/>
  <c r="V130" i="12"/>
  <c r="V134" i="12"/>
  <c r="V142" i="12"/>
  <c r="V146" i="12"/>
  <c r="Z148" i="12"/>
  <c r="L154" i="12"/>
  <c r="J18" i="13"/>
  <c r="V24" i="13"/>
  <c r="H18" i="14"/>
  <c r="J25" i="14"/>
  <c r="R27" i="14"/>
  <c r="J29" i="14"/>
  <c r="R31" i="14"/>
  <c r="J33" i="14"/>
  <c r="R34" i="14"/>
  <c r="J36" i="14"/>
  <c r="J27" i="15"/>
  <c r="V31" i="15"/>
  <c r="J35" i="15"/>
  <c r="V39" i="15"/>
  <c r="J43" i="15"/>
  <c r="V47" i="15"/>
  <c r="J53" i="15"/>
  <c r="Z53" i="15"/>
  <c r="V55" i="15"/>
  <c r="J59" i="15"/>
  <c r="V63" i="15"/>
  <c r="V67" i="15"/>
  <c r="J71" i="15"/>
  <c r="N75" i="15"/>
  <c r="V79" i="15"/>
  <c r="J81" i="15"/>
  <c r="Z81" i="15"/>
  <c r="V83" i="15"/>
  <c r="N87" i="15"/>
  <c r="V91" i="15"/>
  <c r="J93" i="15"/>
  <c r="Z93" i="15"/>
  <c r="V95" i="15"/>
  <c r="N99" i="15"/>
  <c r="V103" i="15"/>
  <c r="J105" i="15"/>
  <c r="Z105" i="15"/>
  <c r="N107" i="15"/>
  <c r="V111" i="15"/>
  <c r="V115" i="15"/>
  <c r="J117" i="15"/>
  <c r="Z117" i="15"/>
  <c r="V119" i="15"/>
  <c r="J121" i="15"/>
  <c r="Z121" i="15"/>
  <c r="V123" i="15"/>
  <c r="V127" i="15"/>
  <c r="J131" i="15"/>
  <c r="J136" i="15"/>
  <c r="V144" i="15"/>
  <c r="R22" i="16"/>
  <c r="R20" i="16"/>
  <c r="R16" i="16"/>
  <c r="D18" i="16"/>
  <c r="J31" i="16"/>
  <c r="F33" i="16"/>
  <c r="J36" i="16"/>
  <c r="V34" i="17"/>
  <c r="V31" i="17"/>
  <c r="V27" i="17"/>
  <c r="V21" i="17"/>
  <c r="V18" i="17"/>
  <c r="V15" i="17"/>
  <c r="P18" i="17"/>
  <c r="F31" i="9"/>
  <c r="F36" i="9"/>
  <c r="J47" i="9"/>
  <c r="F51" i="9"/>
  <c r="J53" i="9"/>
  <c r="F56" i="9"/>
  <c r="R57" i="9"/>
  <c r="F59" i="9"/>
  <c r="V59" i="9"/>
  <c r="R60" i="9"/>
  <c r="J61" i="9"/>
  <c r="F64" i="9"/>
  <c r="V67" i="9"/>
  <c r="V71" i="9"/>
  <c r="R72" i="9"/>
  <c r="J73" i="9"/>
  <c r="V75" i="9"/>
  <c r="F80" i="9"/>
  <c r="V83" i="9"/>
  <c r="R84" i="9"/>
  <c r="V87" i="9"/>
  <c r="R88" i="9"/>
  <c r="J89" i="9"/>
  <c r="F92" i="9"/>
  <c r="R95" i="9"/>
  <c r="J97" i="9"/>
  <c r="R101" i="9"/>
  <c r="J104" i="9"/>
  <c r="V24" i="10"/>
  <c r="R27" i="11"/>
  <c r="R31" i="11"/>
  <c r="R34" i="11"/>
  <c r="V59" i="12"/>
  <c r="V67" i="12"/>
  <c r="V71" i="12"/>
  <c r="V83" i="12"/>
  <c r="V87" i="12"/>
  <c r="V95" i="12"/>
  <c r="V99" i="12"/>
  <c r="V107" i="12"/>
  <c r="V127" i="12"/>
  <c r="V135" i="12"/>
  <c r="V139" i="12"/>
  <c r="V143" i="12"/>
  <c r="V147" i="12"/>
  <c r="V153" i="12"/>
  <c r="X12" i="13"/>
  <c r="J21" i="13"/>
  <c r="F27" i="13"/>
  <c r="V27" i="13"/>
  <c r="F31" i="13"/>
  <c r="V31" i="13"/>
  <c r="F34" i="13"/>
  <c r="V34" i="13"/>
  <c r="R16" i="14"/>
  <c r="J18" i="14"/>
  <c r="R20" i="14"/>
  <c r="F24" i="14"/>
  <c r="V24" i="14"/>
  <c r="V149" i="15"/>
  <c r="V139" i="15"/>
  <c r="V135" i="15"/>
  <c r="V24" i="15"/>
  <c r="J28" i="15"/>
  <c r="V32" i="15"/>
  <c r="J36" i="15"/>
  <c r="V40" i="15"/>
  <c r="J44" i="15"/>
  <c r="V48" i="15"/>
  <c r="V52" i="15"/>
  <c r="V56" i="15"/>
  <c r="J60" i="15"/>
  <c r="V68" i="15"/>
  <c r="J72" i="15"/>
  <c r="J76" i="15"/>
  <c r="V80" i="15"/>
  <c r="J88" i="15"/>
  <c r="V92" i="15"/>
  <c r="J100" i="15"/>
  <c r="V104" i="15"/>
  <c r="J108" i="15"/>
  <c r="V116" i="15"/>
  <c r="V120" i="15"/>
  <c r="V128" i="15"/>
  <c r="V132" i="15"/>
  <c r="N137" i="15"/>
  <c r="J138" i="15"/>
  <c r="J140" i="15"/>
  <c r="V145" i="15"/>
  <c r="R15" i="16"/>
  <c r="J16" i="16"/>
  <c r="F18" i="16"/>
  <c r="R21" i="16"/>
  <c r="J22" i="16"/>
  <c r="R27" i="16"/>
  <c r="R34" i="16"/>
  <c r="V24" i="17"/>
  <c r="N147" i="18"/>
  <c r="T31" i="19"/>
  <c r="Z27" i="19"/>
  <c r="H84" i="24"/>
  <c r="N32" i="24"/>
  <c r="J24" i="8"/>
  <c r="J16" i="9"/>
  <c r="J24" i="9"/>
  <c r="F25" i="9"/>
  <c r="V28" i="9"/>
  <c r="R29" i="9"/>
  <c r="V32" i="9"/>
  <c r="R33" i="9"/>
  <c r="J36" i="9"/>
  <c r="F37" i="9"/>
  <c r="V40" i="9"/>
  <c r="R41" i="9"/>
  <c r="J42" i="9"/>
  <c r="F45" i="9"/>
  <c r="R46" i="9"/>
  <c r="F48" i="9"/>
  <c r="V48" i="9"/>
  <c r="R49" i="9"/>
  <c r="V52" i="9"/>
  <c r="J56" i="9"/>
  <c r="V60" i="9"/>
  <c r="J64" i="9"/>
  <c r="F65" i="9"/>
  <c r="F69" i="9"/>
  <c r="V72" i="9"/>
  <c r="F77" i="9"/>
  <c r="J80" i="9"/>
  <c r="F81" i="9"/>
  <c r="V84" i="9"/>
  <c r="R85" i="9"/>
  <c r="J86" i="9"/>
  <c r="V88" i="9"/>
  <c r="J92" i="9"/>
  <c r="F93" i="9"/>
  <c r="F99" i="9"/>
  <c r="X12" i="10"/>
  <c r="J21" i="10"/>
  <c r="F27" i="10"/>
  <c r="V27" i="10"/>
  <c r="F31" i="10"/>
  <c r="V31" i="10"/>
  <c r="F34" i="10"/>
  <c r="V34" i="10"/>
  <c r="R16" i="11"/>
  <c r="R20" i="11"/>
  <c r="F24" i="11"/>
  <c r="V24" i="11"/>
  <c r="V28" i="12"/>
  <c r="V36" i="12"/>
  <c r="V44" i="12"/>
  <c r="V52" i="12"/>
  <c r="V56" i="12"/>
  <c r="V60" i="12"/>
  <c r="V72" i="12"/>
  <c r="V84" i="12"/>
  <c r="V96" i="12"/>
  <c r="V108" i="12"/>
  <c r="V136" i="12"/>
  <c r="V140" i="12"/>
  <c r="V156" i="12"/>
  <c r="Z12" i="13"/>
  <c r="F16" i="13"/>
  <c r="V16" i="13"/>
  <c r="F20" i="13"/>
  <c r="V20" i="13"/>
  <c r="R22" i="13"/>
  <c r="J24" i="13"/>
  <c r="X12" i="14"/>
  <c r="J21" i="14"/>
  <c r="F27" i="14"/>
  <c r="V27" i="14"/>
  <c r="F31" i="14"/>
  <c r="V31" i="14"/>
  <c r="F34" i="14"/>
  <c r="V34" i="14"/>
  <c r="V25" i="15"/>
  <c r="J29" i="15"/>
  <c r="V33" i="15"/>
  <c r="J37" i="15"/>
  <c r="V41" i="15"/>
  <c r="J45" i="15"/>
  <c r="V57" i="15"/>
  <c r="J61" i="15"/>
  <c r="J65" i="15"/>
  <c r="V69" i="15"/>
  <c r="J73" i="15"/>
  <c r="V77" i="15"/>
  <c r="J79" i="15"/>
  <c r="J85" i="15"/>
  <c r="V89" i="15"/>
  <c r="J91" i="15"/>
  <c r="J97" i="15"/>
  <c r="V101" i="15"/>
  <c r="J103" i="15"/>
  <c r="J109" i="15"/>
  <c r="J113" i="15"/>
  <c r="J125" i="15"/>
  <c r="V129" i="15"/>
  <c r="V133" i="15"/>
  <c r="V134" i="15"/>
  <c r="J139" i="15"/>
  <c r="N141" i="15"/>
  <c r="J142" i="15"/>
  <c r="X145" i="15"/>
  <c r="Z145" i="15" s="1"/>
  <c r="V146" i="15"/>
  <c r="J149" i="15"/>
  <c r="X12" i="16"/>
  <c r="H18" i="16"/>
  <c r="F25" i="16"/>
  <c r="X25" i="16"/>
  <c r="R29" i="16"/>
  <c r="J33" i="16"/>
  <c r="R36" i="16"/>
  <c r="F15" i="17"/>
  <c r="V16" i="17"/>
  <c r="T18" i="17"/>
  <c r="L21" i="17"/>
  <c r="F24" i="17"/>
  <c r="Z95" i="18"/>
  <c r="N97" i="18"/>
  <c r="N123" i="18"/>
  <c r="J27" i="8"/>
  <c r="J31" i="8"/>
  <c r="J34" i="8"/>
  <c r="J19" i="9"/>
  <c r="J25" i="9"/>
  <c r="F26" i="9"/>
  <c r="V29" i="9"/>
  <c r="R30" i="9"/>
  <c r="J31" i="9"/>
  <c r="V33" i="9"/>
  <c r="R34" i="9"/>
  <c r="J37" i="9"/>
  <c r="F38" i="9"/>
  <c r="V41" i="9"/>
  <c r="L42" i="9"/>
  <c r="N42" i="9" s="1"/>
  <c r="J45" i="9"/>
  <c r="X48" i="9"/>
  <c r="Z48" i="9" s="1"/>
  <c r="V49" i="9"/>
  <c r="R50" i="9"/>
  <c r="J51" i="9"/>
  <c r="F54" i="9"/>
  <c r="R55" i="9"/>
  <c r="F57" i="9"/>
  <c r="V57" i="9"/>
  <c r="R58" i="9"/>
  <c r="J59" i="9"/>
  <c r="F62" i="9"/>
  <c r="R63" i="9"/>
  <c r="J65" i="9"/>
  <c r="F66" i="9"/>
  <c r="J69" i="9"/>
  <c r="F70" i="9"/>
  <c r="F74" i="9"/>
  <c r="J77" i="9"/>
  <c r="F78" i="9"/>
  <c r="R79" i="9"/>
  <c r="J81" i="9"/>
  <c r="F82" i="9"/>
  <c r="V85" i="9"/>
  <c r="L86" i="9"/>
  <c r="N86" i="9" s="1"/>
  <c r="F90" i="9"/>
  <c r="R91" i="9"/>
  <c r="J93" i="9"/>
  <c r="F95" i="9"/>
  <c r="V95" i="9"/>
  <c r="J99" i="9"/>
  <c r="F101" i="9"/>
  <c r="V101" i="9"/>
  <c r="Z12" i="10"/>
  <c r="F16" i="10"/>
  <c r="V16" i="10"/>
  <c r="F20" i="10"/>
  <c r="V20" i="10"/>
  <c r="L21" i="10"/>
  <c r="J24" i="10"/>
  <c r="X34" i="10"/>
  <c r="X12" i="11"/>
  <c r="X24" i="11"/>
  <c r="F27" i="11"/>
  <c r="V27" i="11"/>
  <c r="F31" i="11"/>
  <c r="V31" i="11"/>
  <c r="F34" i="11"/>
  <c r="V34" i="11"/>
  <c r="V29" i="12"/>
  <c r="V37" i="12"/>
  <c r="V45" i="12"/>
  <c r="V61" i="12"/>
  <c r="V73" i="12"/>
  <c r="V81" i="12"/>
  <c r="V93" i="12"/>
  <c r="V105" i="12"/>
  <c r="V113" i="12"/>
  <c r="V137" i="12"/>
  <c r="V141" i="12"/>
  <c r="V151" i="12"/>
  <c r="R15" i="13"/>
  <c r="P18" i="13"/>
  <c r="R25" i="13"/>
  <c r="J27" i="13"/>
  <c r="R29" i="13"/>
  <c r="J31" i="13"/>
  <c r="R33" i="13"/>
  <c r="J34" i="13"/>
  <c r="R36" i="13"/>
  <c r="Z12" i="14"/>
  <c r="F16" i="14"/>
  <c r="V16" i="14"/>
  <c r="F20" i="14"/>
  <c r="V20" i="14"/>
  <c r="R22" i="14"/>
  <c r="J24" i="14"/>
  <c r="J22" i="15"/>
  <c r="V26" i="15"/>
  <c r="J30" i="15"/>
  <c r="V34" i="15"/>
  <c r="J38" i="15"/>
  <c r="V42" i="15"/>
  <c r="J46" i="15"/>
  <c r="J52" i="15"/>
  <c r="J54" i="15"/>
  <c r="V58" i="15"/>
  <c r="J62" i="15"/>
  <c r="J66" i="15"/>
  <c r="V70" i="15"/>
  <c r="J74" i="15"/>
  <c r="V78" i="15"/>
  <c r="J82" i="15"/>
  <c r="J86" i="15"/>
  <c r="V90" i="15"/>
  <c r="J94" i="15"/>
  <c r="J98" i="15"/>
  <c r="V102" i="15"/>
  <c r="J106" i="15"/>
  <c r="J110" i="15"/>
  <c r="J114" i="15"/>
  <c r="J118" i="15"/>
  <c r="J122" i="15"/>
  <c r="J126" i="15"/>
  <c r="V130" i="15"/>
  <c r="J132" i="15"/>
  <c r="V136" i="15"/>
  <c r="J144" i="15"/>
  <c r="V147" i="15"/>
  <c r="L15" i="16"/>
  <c r="J20" i="16"/>
  <c r="F34" i="17"/>
  <c r="F31" i="17"/>
  <c r="F27" i="17"/>
  <c r="F21" i="17"/>
  <c r="F18" i="17"/>
  <c r="L13" i="17"/>
  <c r="F16" i="17"/>
  <c r="V25" i="17"/>
  <c r="Z83" i="18"/>
  <c r="N85" i="18"/>
  <c r="J16" i="8"/>
  <c r="J20" i="8"/>
  <c r="V22" i="8"/>
  <c r="F14" i="9"/>
  <c r="F18" i="9"/>
  <c r="J26" i="9"/>
  <c r="F27" i="9"/>
  <c r="V34" i="9"/>
  <c r="R35" i="9"/>
  <c r="J38" i="9"/>
  <c r="F39" i="9"/>
  <c r="F43" i="9"/>
  <c r="R44" i="9"/>
  <c r="F46" i="9"/>
  <c r="V46" i="9"/>
  <c r="R47" i="9"/>
  <c r="J48" i="9"/>
  <c r="V50" i="9"/>
  <c r="J54" i="9"/>
  <c r="V58" i="9"/>
  <c r="J62" i="9"/>
  <c r="J66" i="9"/>
  <c r="F67" i="9"/>
  <c r="R68" i="9"/>
  <c r="J70" i="9"/>
  <c r="F71" i="9"/>
  <c r="J74" i="9"/>
  <c r="F75" i="9"/>
  <c r="R76" i="9"/>
  <c r="J78" i="9"/>
  <c r="J82" i="9"/>
  <c r="F83" i="9"/>
  <c r="F87" i="9"/>
  <c r="J90" i="9"/>
  <c r="P18" i="10"/>
  <c r="R25" i="10"/>
  <c r="J27" i="10"/>
  <c r="R29" i="10"/>
  <c r="J31" i="10"/>
  <c r="R33" i="10"/>
  <c r="J34" i="10"/>
  <c r="R36" i="10"/>
  <c r="X13" i="11"/>
  <c r="R22" i="11"/>
  <c r="V30" i="12"/>
  <c r="V38" i="12"/>
  <c r="V46" i="12"/>
  <c r="V62" i="12"/>
  <c r="V74" i="12"/>
  <c r="V82" i="12"/>
  <c r="V94" i="12"/>
  <c r="V106" i="12"/>
  <c r="V114" i="12"/>
  <c r="V118" i="12"/>
  <c r="V138" i="12"/>
  <c r="V154" i="12"/>
  <c r="J16" i="13"/>
  <c r="J20" i="13"/>
  <c r="F22" i="13"/>
  <c r="V22" i="13"/>
  <c r="R15" i="14"/>
  <c r="P18" i="14"/>
  <c r="R25" i="14"/>
  <c r="J27" i="14"/>
  <c r="R29" i="14"/>
  <c r="J31" i="14"/>
  <c r="R33" i="14"/>
  <c r="J34" i="14"/>
  <c r="R36" i="14"/>
  <c r="J23" i="15"/>
  <c r="V27" i="15"/>
  <c r="J31" i="15"/>
  <c r="V35" i="15"/>
  <c r="J39" i="15"/>
  <c r="V43" i="15"/>
  <c r="J47" i="15"/>
  <c r="T50" i="15"/>
  <c r="J55" i="15"/>
  <c r="V59" i="15"/>
  <c r="J63" i="15"/>
  <c r="J67" i="15"/>
  <c r="V71" i="15"/>
  <c r="V75" i="15"/>
  <c r="J77" i="15"/>
  <c r="J83" i="15"/>
  <c r="V87" i="15"/>
  <c r="J89" i="15"/>
  <c r="J95" i="15"/>
  <c r="V99" i="15"/>
  <c r="J101" i="15"/>
  <c r="V107" i="15"/>
  <c r="J111" i="15"/>
  <c r="J115" i="15"/>
  <c r="J119" i="15"/>
  <c r="J123" i="15"/>
  <c r="V131" i="15"/>
  <c r="V140" i="15"/>
  <c r="L145" i="15"/>
  <c r="N145" i="15" s="1"/>
  <c r="D144" i="15"/>
  <c r="L144" i="15" s="1"/>
  <c r="N144" i="15" s="1"/>
  <c r="F20" i="16"/>
  <c r="F16" i="16"/>
  <c r="F24" i="16"/>
  <c r="F15" i="16"/>
  <c r="P18" i="16"/>
  <c r="F21" i="16"/>
  <c r="F27" i="16"/>
  <c r="L29" i="16"/>
  <c r="R31" i="16"/>
  <c r="J34" i="17"/>
  <c r="J31" i="17"/>
  <c r="J27" i="17"/>
  <c r="J24" i="17"/>
  <c r="J21" i="17"/>
  <c r="J36" i="17"/>
  <c r="J33" i="17"/>
  <c r="J29" i="17"/>
  <c r="J25" i="17"/>
  <c r="H18" i="17"/>
  <c r="J15" i="17"/>
  <c r="J22" i="17"/>
  <c r="L15" i="17"/>
  <c r="V20" i="17"/>
  <c r="V29" i="17"/>
  <c r="V33" i="17"/>
  <c r="V36" i="17"/>
  <c r="F161" i="18"/>
  <c r="F156" i="18"/>
  <c r="F137" i="18"/>
  <c r="F77" i="18"/>
  <c r="F65" i="18"/>
  <c r="F49" i="18"/>
  <c r="F41" i="18"/>
  <c r="F33" i="18"/>
  <c r="F25" i="18"/>
  <c r="F153" i="18"/>
  <c r="F147" i="18"/>
  <c r="F143" i="18"/>
  <c r="F140" i="18"/>
  <c r="F136" i="18"/>
  <c r="F127" i="18"/>
  <c r="F123" i="18"/>
  <c r="F111" i="18"/>
  <c r="F108" i="18"/>
  <c r="F99" i="18"/>
  <c r="F96" i="18"/>
  <c r="F87" i="18"/>
  <c r="F84" i="18"/>
  <c r="F76" i="18"/>
  <c r="F64" i="18"/>
  <c r="F59" i="18"/>
  <c r="F48" i="18"/>
  <c r="F40" i="18"/>
  <c r="F32" i="18"/>
  <c r="F24" i="18"/>
  <c r="F139" i="18"/>
  <c r="F135" i="18"/>
  <c r="F130" i="18"/>
  <c r="F118" i="18"/>
  <c r="F102" i="18"/>
  <c r="F90" i="18"/>
  <c r="F75" i="18"/>
  <c r="F70" i="18"/>
  <c r="F63" i="18"/>
  <c r="F56" i="18"/>
  <c r="F47" i="18"/>
  <c r="F39" i="18"/>
  <c r="F31" i="18"/>
  <c r="F23" i="18"/>
  <c r="F155" i="18"/>
  <c r="F146" i="18"/>
  <c r="F142" i="18"/>
  <c r="F134" i="18"/>
  <c r="F126" i="18"/>
  <c r="F122" i="18"/>
  <c r="F113" i="18"/>
  <c r="F110" i="18"/>
  <c r="F105" i="18"/>
  <c r="F98" i="18"/>
  <c r="F93" i="18"/>
  <c r="F86" i="18"/>
  <c r="F81" i="18"/>
  <c r="F74" i="18"/>
  <c r="F62" i="18"/>
  <c r="D56" i="18"/>
  <c r="F54" i="18"/>
  <c r="F46" i="18"/>
  <c r="F38" i="18"/>
  <c r="F30" i="18"/>
  <c r="F22" i="18"/>
  <c r="F152" i="18"/>
  <c r="F145" i="18"/>
  <c r="F133" i="18"/>
  <c r="F129" i="18"/>
  <c r="F125" i="18"/>
  <c r="F121" i="18"/>
  <c r="F117" i="18"/>
  <c r="F101" i="18"/>
  <c r="F89" i="18"/>
  <c r="F73" i="18"/>
  <c r="F69" i="18"/>
  <c r="F61" i="18"/>
  <c r="F53" i="18"/>
  <c r="F45" i="18"/>
  <c r="F37" i="18"/>
  <c r="F29" i="18"/>
  <c r="F157" i="18"/>
  <c r="F148" i="18"/>
  <c r="F144" i="18"/>
  <c r="F132" i="18"/>
  <c r="F128" i="18"/>
  <c r="F124" i="18"/>
  <c r="F120" i="18"/>
  <c r="F116" i="18"/>
  <c r="F112" i="18"/>
  <c r="F107" i="18"/>
  <c r="F104" i="18"/>
  <c r="F100" i="18"/>
  <c r="F95" i="18"/>
  <c r="F92" i="18"/>
  <c r="F88" i="18"/>
  <c r="F83" i="18"/>
  <c r="F80" i="18"/>
  <c r="F72" i="18"/>
  <c r="F68" i="18"/>
  <c r="F60" i="18"/>
  <c r="F52" i="18"/>
  <c r="F44" i="18"/>
  <c r="F36" i="18"/>
  <c r="F28" i="18"/>
  <c r="F154" i="18"/>
  <c r="F138" i="18"/>
  <c r="F131" i="18"/>
  <c r="F119" i="18"/>
  <c r="F115" i="18"/>
  <c r="F103" i="18"/>
  <c r="F91" i="18"/>
  <c r="F79" i="18"/>
  <c r="F71" i="18"/>
  <c r="F67" i="18"/>
  <c r="F58" i="18"/>
  <c r="F51" i="18"/>
  <c r="F43" i="18"/>
  <c r="F35" i="18"/>
  <c r="F27" i="18"/>
  <c r="F151" i="18"/>
  <c r="F141" i="18"/>
  <c r="F114" i="18"/>
  <c r="F109" i="18"/>
  <c r="F106" i="18"/>
  <c r="F97" i="18"/>
  <c r="F94" i="18"/>
  <c r="F85" i="18"/>
  <c r="F82" i="18"/>
  <c r="F78" i="18"/>
  <c r="F66" i="18"/>
  <c r="F50" i="18"/>
  <c r="F42" i="18"/>
  <c r="F34" i="18"/>
  <c r="F26" i="18"/>
  <c r="F21" i="18"/>
  <c r="F74" i="24"/>
  <c r="F67" i="24"/>
  <c r="F62" i="24"/>
  <c r="F47" i="24"/>
  <c r="F42" i="24"/>
  <c r="F75" i="24"/>
  <c r="F66" i="24"/>
  <c r="F63" i="24"/>
  <c r="F51" i="24"/>
  <c r="F43" i="24"/>
  <c r="F82" i="24"/>
  <c r="F71" i="24"/>
  <c r="F70" i="24"/>
  <c r="F57" i="24"/>
  <c r="F56" i="24"/>
  <c r="F52" i="24"/>
  <c r="F48" i="24"/>
  <c r="F44" i="24"/>
  <c r="F34" i="24"/>
  <c r="F26" i="24"/>
  <c r="F69" i="24"/>
  <c r="F61" i="24"/>
  <c r="F32" i="24"/>
  <c r="F25" i="24"/>
  <c r="F79" i="24"/>
  <c r="F78" i="24"/>
  <c r="F76" i="24"/>
  <c r="F68" i="24"/>
  <c r="F60" i="24"/>
  <c r="F41" i="24"/>
  <c r="F24" i="24"/>
  <c r="F77" i="24"/>
  <c r="F55" i="24"/>
  <c r="F54" i="24"/>
  <c r="F40" i="24"/>
  <c r="F39" i="24"/>
  <c r="F23" i="24"/>
  <c r="F18" i="24"/>
  <c r="F73" i="24"/>
  <c r="F38" i="24"/>
  <c r="F33" i="24"/>
  <c r="F22" i="24"/>
  <c r="F72" i="24"/>
  <c r="F65" i="24"/>
  <c r="F59" i="24"/>
  <c r="F58" i="24"/>
  <c r="F37" i="24"/>
  <c r="F30" i="24"/>
  <c r="F21" i="24"/>
  <c r="F64" i="24"/>
  <c r="F53" i="24"/>
  <c r="F50" i="24"/>
  <c r="F46" i="24"/>
  <c r="F36" i="24"/>
  <c r="D30" i="24"/>
  <c r="F28" i="24"/>
  <c r="F20" i="24"/>
  <c r="L12" i="24"/>
  <c r="N12" i="24" s="1"/>
  <c r="F86" i="24"/>
  <c r="F80" i="24"/>
  <c r="F49" i="24"/>
  <c r="F45" i="24"/>
  <c r="F35" i="24"/>
  <c r="F27" i="24"/>
  <c r="F19" i="24"/>
  <c r="T18" i="8"/>
  <c r="V25" i="8"/>
  <c r="V29" i="8"/>
  <c r="V33" i="8"/>
  <c r="V36" i="8"/>
  <c r="L12" i="9"/>
  <c r="F20" i="9"/>
  <c r="V23" i="9"/>
  <c r="R24" i="9"/>
  <c r="J27" i="9"/>
  <c r="F28" i="9"/>
  <c r="F32" i="9"/>
  <c r="V35" i="9"/>
  <c r="R36" i="9"/>
  <c r="J39" i="9"/>
  <c r="F40" i="9"/>
  <c r="J43" i="9"/>
  <c r="V47" i="9"/>
  <c r="F52" i="9"/>
  <c r="R53" i="9"/>
  <c r="F55" i="9"/>
  <c r="V55" i="9"/>
  <c r="R56" i="9"/>
  <c r="J57" i="9"/>
  <c r="F60" i="9"/>
  <c r="R61" i="9"/>
  <c r="F63" i="9"/>
  <c r="V63" i="9"/>
  <c r="R64" i="9"/>
  <c r="J67" i="9"/>
  <c r="J71" i="9"/>
  <c r="F72" i="9"/>
  <c r="R73" i="9"/>
  <c r="J75" i="9"/>
  <c r="F79" i="9"/>
  <c r="V79" i="9"/>
  <c r="R80" i="9"/>
  <c r="J83" i="9"/>
  <c r="F84" i="9"/>
  <c r="J87" i="9"/>
  <c r="F88" i="9"/>
  <c r="R89" i="9"/>
  <c r="F91" i="9"/>
  <c r="V91" i="9"/>
  <c r="R92" i="9"/>
  <c r="J95" i="9"/>
  <c r="R97" i="9"/>
  <c r="J101" i="9"/>
  <c r="R104" i="9"/>
  <c r="J16" i="10"/>
  <c r="R18" i="10"/>
  <c r="J20" i="10"/>
  <c r="F22" i="10"/>
  <c r="V22" i="10"/>
  <c r="R15" i="11"/>
  <c r="P18" i="11"/>
  <c r="R25" i="11"/>
  <c r="R29" i="11"/>
  <c r="R33" i="11"/>
  <c r="R36" i="11"/>
  <c r="V23" i="12"/>
  <c r="V31" i="12"/>
  <c r="V39" i="12"/>
  <c r="V47" i="12"/>
  <c r="T54" i="12"/>
  <c r="V63" i="12"/>
  <c r="V75" i="12"/>
  <c r="V79" i="12"/>
  <c r="V91" i="12"/>
  <c r="V103" i="12"/>
  <c r="V111" i="12"/>
  <c r="V115" i="12"/>
  <c r="V119" i="12"/>
  <c r="V123" i="12"/>
  <c r="V131" i="12"/>
  <c r="V15" i="13"/>
  <c r="T18" i="13"/>
  <c r="R21" i="13"/>
  <c r="F25" i="13"/>
  <c r="V25" i="13"/>
  <c r="F29" i="13"/>
  <c r="V29" i="13"/>
  <c r="F33" i="13"/>
  <c r="V33" i="13"/>
  <c r="F36" i="13"/>
  <c r="V36" i="13"/>
  <c r="J16" i="14"/>
  <c r="R18" i="14"/>
  <c r="J20" i="14"/>
  <c r="F22" i="14"/>
  <c r="V22" i="14"/>
  <c r="J153" i="15"/>
  <c r="J148" i="15"/>
  <c r="J135" i="15"/>
  <c r="J151" i="15"/>
  <c r="J141" i="15"/>
  <c r="J137" i="15"/>
  <c r="J24" i="15"/>
  <c r="V28" i="15"/>
  <c r="J32" i="15"/>
  <c r="V36" i="15"/>
  <c r="J40" i="15"/>
  <c r="V44" i="15"/>
  <c r="J48" i="15"/>
  <c r="V50" i="15"/>
  <c r="J56" i="15"/>
  <c r="V60" i="15"/>
  <c r="V64" i="15"/>
  <c r="J68" i="15"/>
  <c r="V72" i="15"/>
  <c r="V76" i="15"/>
  <c r="J80" i="15"/>
  <c r="V84" i="15"/>
  <c r="V88" i="15"/>
  <c r="J92" i="15"/>
  <c r="V96" i="15"/>
  <c r="V100" i="15"/>
  <c r="J104" i="15"/>
  <c r="V108" i="15"/>
  <c r="V112" i="15"/>
  <c r="J116" i="15"/>
  <c r="J120" i="15"/>
  <c r="V124" i="15"/>
  <c r="J128" i="15"/>
  <c r="X135" i="15"/>
  <c r="Z137" i="15"/>
  <c r="V138" i="15"/>
  <c r="J145" i="15"/>
  <c r="V148" i="15"/>
  <c r="J24" i="16"/>
  <c r="J18" i="16"/>
  <c r="R18" i="16"/>
  <c r="R24" i="16"/>
  <c r="J27" i="16"/>
  <c r="F29" i="16"/>
  <c r="R33" i="16"/>
  <c r="J34" i="16"/>
  <c r="J16" i="17"/>
  <c r="P27" i="22"/>
  <c r="J15" i="8"/>
  <c r="H18" i="8"/>
  <c r="J25" i="8"/>
  <c r="R27" i="8"/>
  <c r="J29" i="8"/>
  <c r="R31" i="8"/>
  <c r="J33" i="8"/>
  <c r="D16" i="9"/>
  <c r="T16" i="9"/>
  <c r="R19" i="9"/>
  <c r="J21" i="9"/>
  <c r="F22" i="9"/>
  <c r="V25" i="9"/>
  <c r="R26" i="9"/>
  <c r="J29" i="9"/>
  <c r="F30" i="9"/>
  <c r="R31" i="9"/>
  <c r="J33" i="9"/>
  <c r="F34" i="9"/>
  <c r="V37" i="9"/>
  <c r="R38" i="9"/>
  <c r="J41" i="9"/>
  <c r="V45" i="9"/>
  <c r="J49" i="9"/>
  <c r="F50" i="9"/>
  <c r="R51" i="9"/>
  <c r="F53" i="9"/>
  <c r="V53" i="9"/>
  <c r="R54" i="9"/>
  <c r="J55" i="9"/>
  <c r="F58" i="9"/>
  <c r="R59" i="9"/>
  <c r="F61" i="9"/>
  <c r="V61" i="9"/>
  <c r="R62" i="9"/>
  <c r="J63" i="9"/>
  <c r="V65" i="9"/>
  <c r="R66" i="9"/>
  <c r="V69" i="9"/>
  <c r="R70" i="9"/>
  <c r="F73" i="9"/>
  <c r="V73" i="9"/>
  <c r="R74" i="9"/>
  <c r="V77" i="9"/>
  <c r="R78" i="9"/>
  <c r="J79" i="9"/>
  <c r="V81" i="9"/>
  <c r="R82" i="9"/>
  <c r="J85" i="9"/>
  <c r="F89" i="9"/>
  <c r="V89" i="9"/>
  <c r="V93" i="9"/>
  <c r="F97" i="9"/>
  <c r="V97" i="9"/>
  <c r="V99" i="9"/>
  <c r="N12" i="10"/>
  <c r="L12" i="11"/>
  <c r="F15" i="11"/>
  <c r="V15" i="11"/>
  <c r="D18" i="11"/>
  <c r="T18" i="11"/>
  <c r="F25" i="11"/>
  <c r="V25" i="11"/>
  <c r="F29" i="11"/>
  <c r="V29" i="11"/>
  <c r="F33" i="11"/>
  <c r="V33" i="11"/>
  <c r="V25" i="12"/>
  <c r="V33" i="12"/>
  <c r="V41" i="12"/>
  <c r="V49" i="12"/>
  <c r="V57" i="12"/>
  <c r="V65" i="12"/>
  <c r="V69" i="12"/>
  <c r="V77" i="12"/>
  <c r="V85" i="12"/>
  <c r="V89" i="12"/>
  <c r="V97" i="12"/>
  <c r="V101" i="12"/>
  <c r="V109" i="12"/>
  <c r="V117" i="12"/>
  <c r="V121" i="12"/>
  <c r="V125" i="12"/>
  <c r="V129" i="12"/>
  <c r="V133" i="12"/>
  <c r="V145" i="12"/>
  <c r="V149" i="12"/>
  <c r="J15" i="13"/>
  <c r="H18" i="13"/>
  <c r="J25" i="13"/>
  <c r="R27" i="13"/>
  <c r="J29" i="13"/>
  <c r="R31" i="13"/>
  <c r="J33" i="13"/>
  <c r="N12" i="14"/>
  <c r="N12" i="15"/>
  <c r="V22" i="15"/>
  <c r="J26" i="15"/>
  <c r="V30" i="15"/>
  <c r="J34" i="15"/>
  <c r="V38" i="15"/>
  <c r="J42" i="15"/>
  <c r="V46" i="15"/>
  <c r="J50" i="15"/>
  <c r="V54" i="15"/>
  <c r="J58" i="15"/>
  <c r="V62" i="15"/>
  <c r="J64" i="15"/>
  <c r="V66" i="15"/>
  <c r="J70" i="15"/>
  <c r="V74" i="15"/>
  <c r="J78" i="15"/>
  <c r="V82" i="15"/>
  <c r="J84" i="15"/>
  <c r="V86" i="15"/>
  <c r="J90" i="15"/>
  <c r="V94" i="15"/>
  <c r="J96" i="15"/>
  <c r="V98" i="15"/>
  <c r="J102" i="15"/>
  <c r="V106" i="15"/>
  <c r="V110" i="15"/>
  <c r="J112" i="15"/>
  <c r="V114" i="15"/>
  <c r="V118" i="15"/>
  <c r="V122" i="15"/>
  <c r="J124" i="15"/>
  <c r="V126" i="15"/>
  <c r="J130" i="15"/>
  <c r="J134" i="15"/>
  <c r="V141" i="15"/>
  <c r="J147" i="15"/>
  <c r="N12" i="16"/>
  <c r="F22" i="16"/>
  <c r="R25" i="16"/>
  <c r="J29" i="16"/>
  <c r="F31" i="16"/>
  <c r="J20" i="17"/>
  <c r="V22" i="17"/>
  <c r="J25" i="18"/>
  <c r="V29" i="18"/>
  <c r="J33" i="18"/>
  <c r="V37" i="18"/>
  <c r="J41" i="18"/>
  <c r="V45" i="18"/>
  <c r="J49" i="18"/>
  <c r="V53" i="18"/>
  <c r="J59" i="18"/>
  <c r="V61" i="18"/>
  <c r="J65" i="18"/>
  <c r="V69" i="18"/>
  <c r="V73" i="18"/>
  <c r="J77" i="18"/>
  <c r="V85" i="18"/>
  <c r="J87" i="18"/>
  <c r="V89" i="18"/>
  <c r="V97" i="18"/>
  <c r="J99" i="18"/>
  <c r="V101" i="18"/>
  <c r="V109" i="18"/>
  <c r="J111" i="18"/>
  <c r="V117" i="18"/>
  <c r="V121" i="18"/>
  <c r="J123" i="18"/>
  <c r="V125" i="18"/>
  <c r="J127" i="18"/>
  <c r="V129" i="18"/>
  <c r="L130" i="18"/>
  <c r="N130" i="18" s="1"/>
  <c r="V133" i="18"/>
  <c r="J137" i="18"/>
  <c r="V141" i="18"/>
  <c r="J143" i="18"/>
  <c r="V145" i="18"/>
  <c r="J147" i="18"/>
  <c r="P150" i="18"/>
  <c r="X150" i="18" s="1"/>
  <c r="Z150" i="18" s="1"/>
  <c r="J156" i="18"/>
  <c r="V157" i="18"/>
  <c r="J161" i="18"/>
  <c r="Z12" i="19"/>
  <c r="F16" i="19"/>
  <c r="V16" i="19"/>
  <c r="N18" i="19"/>
  <c r="F20" i="19"/>
  <c r="V20" i="19"/>
  <c r="L21" i="19"/>
  <c r="R22" i="19"/>
  <c r="X34" i="19"/>
  <c r="X12" i="20"/>
  <c r="J21" i="20"/>
  <c r="X24" i="20"/>
  <c r="V27" i="20"/>
  <c r="V31" i="20"/>
  <c r="V34" i="20"/>
  <c r="X12" i="21"/>
  <c r="X18" i="21"/>
  <c r="Z18" i="21" s="1"/>
  <c r="V19" i="21"/>
  <c r="R20" i="21"/>
  <c r="R25" i="21"/>
  <c r="X26" i="21"/>
  <c r="Z26" i="21" s="1"/>
  <c r="V27" i="21"/>
  <c r="R28" i="21"/>
  <c r="J31" i="21"/>
  <c r="V35" i="21"/>
  <c r="L36" i="21"/>
  <c r="N36" i="21" s="1"/>
  <c r="V39" i="21"/>
  <c r="R40" i="21"/>
  <c r="J43" i="21"/>
  <c r="N47" i="21"/>
  <c r="R49" i="21"/>
  <c r="V51" i="21"/>
  <c r="R52" i="21"/>
  <c r="J53" i="21"/>
  <c r="Z53" i="21"/>
  <c r="V55" i="21"/>
  <c r="L56" i="21"/>
  <c r="N56" i="21" s="1"/>
  <c r="J59" i="21"/>
  <c r="X62" i="21"/>
  <c r="Z62" i="21" s="1"/>
  <c r="V63" i="21"/>
  <c r="L64" i="21"/>
  <c r="N64" i="21" s="1"/>
  <c r="J67" i="21"/>
  <c r="J71" i="21"/>
  <c r="J75" i="21"/>
  <c r="J79" i="21"/>
  <c r="J83" i="21"/>
  <c r="R85" i="21"/>
  <c r="V87" i="21"/>
  <c r="R88" i="21"/>
  <c r="L90" i="21"/>
  <c r="R94" i="21"/>
  <c r="L12" i="22"/>
  <c r="F15" i="22"/>
  <c r="V15" i="22"/>
  <c r="L16" i="22"/>
  <c r="D18" i="22"/>
  <c r="T18" i="22"/>
  <c r="L20" i="22"/>
  <c r="X22" i="22"/>
  <c r="F25" i="22"/>
  <c r="V25" i="22"/>
  <c r="F29" i="22"/>
  <c r="V29" i="22"/>
  <c r="F33" i="22"/>
  <c r="V33" i="22"/>
  <c r="F36" i="22"/>
  <c r="V36" i="22"/>
  <c r="J16" i="23"/>
  <c r="R18" i="23"/>
  <c r="J20" i="23"/>
  <c r="F22" i="23"/>
  <c r="L34" i="23"/>
  <c r="J82" i="24"/>
  <c r="J78" i="24"/>
  <c r="J70" i="24"/>
  <c r="J64" i="24"/>
  <c r="J58" i="24"/>
  <c r="J46" i="24"/>
  <c r="J84" i="24"/>
  <c r="J68" i="24"/>
  <c r="J54" i="24"/>
  <c r="J50" i="24"/>
  <c r="N18" i="24"/>
  <c r="R23" i="24"/>
  <c r="J26" i="24"/>
  <c r="J32" i="24"/>
  <c r="Z32" i="24"/>
  <c r="J34" i="24"/>
  <c r="R40" i="24"/>
  <c r="J42" i="24"/>
  <c r="J43" i="24"/>
  <c r="J44" i="24"/>
  <c r="J47" i="24"/>
  <c r="J48" i="24"/>
  <c r="J51" i="24"/>
  <c r="J52" i="24"/>
  <c r="J56" i="24"/>
  <c r="Z57" i="24"/>
  <c r="X64" i="24"/>
  <c r="R66" i="24"/>
  <c r="V67" i="24"/>
  <c r="N68" i="24"/>
  <c r="V73" i="24"/>
  <c r="R76" i="24"/>
  <c r="R77" i="24"/>
  <c r="R78" i="24"/>
  <c r="N79" i="24"/>
  <c r="T27" i="25"/>
  <c r="R24" i="25"/>
  <c r="F76" i="27"/>
  <c r="F48" i="27"/>
  <c r="F44" i="27"/>
  <c r="F36" i="27"/>
  <c r="F28" i="27"/>
  <c r="F20" i="27"/>
  <c r="F79" i="27"/>
  <c r="F75" i="27"/>
  <c r="F66" i="27"/>
  <c r="F63" i="27"/>
  <c r="F58" i="27"/>
  <c r="F55" i="27"/>
  <c r="F47" i="27"/>
  <c r="F43" i="27"/>
  <c r="F35" i="27"/>
  <c r="F27" i="27"/>
  <c r="F85" i="27"/>
  <c r="F78" i="27"/>
  <c r="F54" i="27"/>
  <c r="F46" i="27"/>
  <c r="F42" i="27"/>
  <c r="F33" i="27"/>
  <c r="F26" i="27"/>
  <c r="F81" i="27"/>
  <c r="F72" i="27"/>
  <c r="F68" i="27"/>
  <c r="F65" i="27"/>
  <c r="F60" i="27"/>
  <c r="F57" i="27"/>
  <c r="F53" i="27"/>
  <c r="F41" i="27"/>
  <c r="F25" i="27"/>
  <c r="F87" i="27"/>
  <c r="F52" i="27"/>
  <c r="F40" i="27"/>
  <c r="F24" i="27"/>
  <c r="F19" i="27"/>
  <c r="F84" i="27"/>
  <c r="F74" i="27"/>
  <c r="F71" i="27"/>
  <c r="F67" i="27"/>
  <c r="F62" i="27"/>
  <c r="F59" i="27"/>
  <c r="F51" i="27"/>
  <c r="F39" i="27"/>
  <c r="F34" i="27"/>
  <c r="F23" i="27"/>
  <c r="F77" i="27"/>
  <c r="F70" i="27"/>
  <c r="F50" i="27"/>
  <c r="F45" i="27"/>
  <c r="F38" i="27"/>
  <c r="F22" i="27"/>
  <c r="L12" i="27"/>
  <c r="F91" i="27"/>
  <c r="F86" i="27"/>
  <c r="F80" i="27"/>
  <c r="F73" i="27"/>
  <c r="F69" i="27"/>
  <c r="F64" i="27"/>
  <c r="F61" i="27"/>
  <c r="F56" i="27"/>
  <c r="F49" i="27"/>
  <c r="F37" i="27"/>
  <c r="D31" i="27"/>
  <c r="F29" i="27"/>
  <c r="F21" i="27"/>
  <c r="Z93" i="30"/>
  <c r="H82" i="33"/>
  <c r="N12" i="18"/>
  <c r="V22" i="18"/>
  <c r="J26" i="18"/>
  <c r="V30" i="18"/>
  <c r="J34" i="18"/>
  <c r="V38" i="18"/>
  <c r="J42" i="18"/>
  <c r="V46" i="18"/>
  <c r="J50" i="18"/>
  <c r="V54" i="18"/>
  <c r="V58" i="18"/>
  <c r="V62" i="18"/>
  <c r="J66" i="18"/>
  <c r="V74" i="18"/>
  <c r="J78" i="18"/>
  <c r="J82" i="18"/>
  <c r="V86" i="18"/>
  <c r="J94" i="18"/>
  <c r="V98" i="18"/>
  <c r="J106" i="18"/>
  <c r="V110" i="18"/>
  <c r="J114" i="18"/>
  <c r="V122" i="18"/>
  <c r="V126" i="18"/>
  <c r="V134" i="18"/>
  <c r="V138" i="18"/>
  <c r="V142" i="18"/>
  <c r="V146" i="18"/>
  <c r="J151" i="18"/>
  <c r="V152" i="18"/>
  <c r="R15" i="19"/>
  <c r="P18" i="19"/>
  <c r="R25" i="19"/>
  <c r="R29" i="19"/>
  <c r="R33" i="19"/>
  <c r="R36" i="19"/>
  <c r="Z12" i="20"/>
  <c r="V16" i="20"/>
  <c r="V20" i="20"/>
  <c r="R22" i="20"/>
  <c r="J24" i="20"/>
  <c r="Z12" i="21"/>
  <c r="J18" i="21"/>
  <c r="V20" i="21"/>
  <c r="R21" i="21"/>
  <c r="J26" i="21"/>
  <c r="V28" i="21"/>
  <c r="R29" i="21"/>
  <c r="J32" i="21"/>
  <c r="V40" i="21"/>
  <c r="R41" i="21"/>
  <c r="J44" i="21"/>
  <c r="J48" i="21"/>
  <c r="V52" i="21"/>
  <c r="R58" i="21"/>
  <c r="V60" i="21"/>
  <c r="R61" i="21"/>
  <c r="J62" i="21"/>
  <c r="R66" i="21"/>
  <c r="J68" i="21"/>
  <c r="R70" i="21"/>
  <c r="V72" i="21"/>
  <c r="R73" i="21"/>
  <c r="V76" i="21"/>
  <c r="R77" i="21"/>
  <c r="J80" i="21"/>
  <c r="R82" i="21"/>
  <c r="J84" i="21"/>
  <c r="V88" i="21"/>
  <c r="V94" i="21"/>
  <c r="N12" i="22"/>
  <c r="X15" i="22"/>
  <c r="F18" i="22"/>
  <c r="V18" i="22"/>
  <c r="J22" i="22"/>
  <c r="L12" i="23"/>
  <c r="F15" i="23"/>
  <c r="D18" i="23"/>
  <c r="R21" i="23"/>
  <c r="F25" i="23"/>
  <c r="F29" i="23"/>
  <c r="F33" i="23"/>
  <c r="F36" i="23"/>
  <c r="V36" i="23"/>
  <c r="J19" i="24"/>
  <c r="R24" i="24"/>
  <c r="J27" i="24"/>
  <c r="T30" i="24"/>
  <c r="R33" i="24"/>
  <c r="J35" i="24"/>
  <c r="V40" i="24"/>
  <c r="R41" i="24"/>
  <c r="J45" i="24"/>
  <c r="J49" i="24"/>
  <c r="V53" i="24"/>
  <c r="R55" i="24"/>
  <c r="J57" i="24"/>
  <c r="V59" i="24"/>
  <c r="R60" i="24"/>
  <c r="J62" i="24"/>
  <c r="J63" i="24"/>
  <c r="J71" i="24"/>
  <c r="R74" i="24"/>
  <c r="V75" i="24"/>
  <c r="V76" i="24"/>
  <c r="V77" i="24"/>
  <c r="J80" i="24"/>
  <c r="J86" i="24"/>
  <c r="L29" i="25"/>
  <c r="J34" i="26"/>
  <c r="J31" i="26"/>
  <c r="J27" i="26"/>
  <c r="J24" i="26"/>
  <c r="J21" i="26"/>
  <c r="J18" i="26"/>
  <c r="J36" i="26"/>
  <c r="J33" i="26"/>
  <c r="J29" i="26"/>
  <c r="J25" i="26"/>
  <c r="H18" i="26"/>
  <c r="J15" i="26"/>
  <c r="J22" i="26"/>
  <c r="N12" i="26"/>
  <c r="J20" i="26"/>
  <c r="J16" i="26"/>
  <c r="Z74" i="27"/>
  <c r="V24" i="16"/>
  <c r="R27" i="17"/>
  <c r="R31" i="17"/>
  <c r="R34" i="17"/>
  <c r="P12" i="18"/>
  <c r="J21" i="18"/>
  <c r="V23" i="18"/>
  <c r="J27" i="18"/>
  <c r="V31" i="18"/>
  <c r="J35" i="18"/>
  <c r="V39" i="18"/>
  <c r="J43" i="18"/>
  <c r="V47" i="18"/>
  <c r="J51" i="18"/>
  <c r="V63" i="18"/>
  <c r="J67" i="18"/>
  <c r="J71" i="18"/>
  <c r="V75" i="18"/>
  <c r="J79" i="18"/>
  <c r="V83" i="18"/>
  <c r="J85" i="18"/>
  <c r="J91" i="18"/>
  <c r="V95" i="18"/>
  <c r="J97" i="18"/>
  <c r="J103" i="18"/>
  <c r="V107" i="18"/>
  <c r="J109" i="18"/>
  <c r="J115" i="18"/>
  <c r="J119" i="18"/>
  <c r="J131" i="18"/>
  <c r="V135" i="18"/>
  <c r="V139" i="18"/>
  <c r="J141" i="18"/>
  <c r="D150" i="18"/>
  <c r="L150" i="18" s="1"/>
  <c r="N150" i="18" s="1"/>
  <c r="J154" i="18"/>
  <c r="V155" i="18"/>
  <c r="J16" i="19"/>
  <c r="R18" i="19"/>
  <c r="J20" i="19"/>
  <c r="F22" i="19"/>
  <c r="V22" i="19"/>
  <c r="R15" i="20"/>
  <c r="P18" i="20"/>
  <c r="R25" i="20"/>
  <c r="J27" i="20"/>
  <c r="R29" i="20"/>
  <c r="J31" i="20"/>
  <c r="R33" i="20"/>
  <c r="J34" i="20"/>
  <c r="R36" i="20"/>
  <c r="D12" i="21"/>
  <c r="V21" i="21"/>
  <c r="V25" i="21"/>
  <c r="V29" i="21"/>
  <c r="R30" i="21"/>
  <c r="J33" i="21"/>
  <c r="J37" i="21"/>
  <c r="V41" i="21"/>
  <c r="R42" i="21"/>
  <c r="J45" i="21"/>
  <c r="R47" i="21"/>
  <c r="V49" i="21"/>
  <c r="R50" i="21"/>
  <c r="J51" i="21"/>
  <c r="J57" i="21"/>
  <c r="V61" i="21"/>
  <c r="J65" i="21"/>
  <c r="J69" i="21"/>
  <c r="V73" i="21"/>
  <c r="R74" i="21"/>
  <c r="V77" i="21"/>
  <c r="R78" i="21"/>
  <c r="J81" i="21"/>
  <c r="V85" i="21"/>
  <c r="R86" i="21"/>
  <c r="J87" i="21"/>
  <c r="J15" i="22"/>
  <c r="H18" i="22"/>
  <c r="F21" i="22"/>
  <c r="V21" i="22"/>
  <c r="J25" i="22"/>
  <c r="R27" i="22"/>
  <c r="J29" i="22"/>
  <c r="R31" i="22"/>
  <c r="J33" i="22"/>
  <c r="J36" i="22"/>
  <c r="N12" i="23"/>
  <c r="F18" i="23"/>
  <c r="V18" i="23"/>
  <c r="J22" i="23"/>
  <c r="R24" i="23"/>
  <c r="R18" i="24"/>
  <c r="J20" i="24"/>
  <c r="V24" i="24"/>
  <c r="R25" i="24"/>
  <c r="J28" i="24"/>
  <c r="J36" i="24"/>
  <c r="V41" i="24"/>
  <c r="R56" i="24"/>
  <c r="V60" i="24"/>
  <c r="R61" i="24"/>
  <c r="R69" i="24"/>
  <c r="R70" i="24"/>
  <c r="N71" i="24"/>
  <c r="F22" i="25"/>
  <c r="F34" i="25"/>
  <c r="F31" i="25"/>
  <c r="F27" i="25"/>
  <c r="F24" i="25"/>
  <c r="F21" i="25"/>
  <c r="L15" i="25"/>
  <c r="F29" i="25"/>
  <c r="L12" i="26"/>
  <c r="L22" i="26"/>
  <c r="Z42" i="30"/>
  <c r="F77" i="33"/>
  <c r="F68" i="33"/>
  <c r="F60" i="33"/>
  <c r="F51" i="33"/>
  <c r="F48" i="33"/>
  <c r="F67" i="33"/>
  <c r="F63" i="33"/>
  <c r="F59" i="33"/>
  <c r="F70" i="33"/>
  <c r="F66" i="33"/>
  <c r="F53" i="33"/>
  <c r="F50" i="33"/>
  <c r="F61" i="33"/>
  <c r="F57" i="33"/>
  <c r="F56" i="33"/>
  <c r="F49" i="33"/>
  <c r="F47" i="33"/>
  <c r="F46" i="33"/>
  <c r="F37" i="33"/>
  <c r="F33" i="33"/>
  <c r="F45" i="33"/>
  <c r="F44" i="33"/>
  <c r="F32" i="33"/>
  <c r="F19" i="33"/>
  <c r="F43" i="33"/>
  <c r="F31" i="33"/>
  <c r="F26" i="33"/>
  <c r="F65" i="33"/>
  <c r="F42" i="33"/>
  <c r="F30" i="33"/>
  <c r="L12" i="33"/>
  <c r="N12" i="33" s="1"/>
  <c r="F41" i="33"/>
  <c r="F36" i="33"/>
  <c r="F29" i="33"/>
  <c r="D23" i="33"/>
  <c r="F23" i="33" s="1"/>
  <c r="F21" i="33"/>
  <c r="F73" i="33"/>
  <c r="F69" i="33"/>
  <c r="F52" i="33"/>
  <c r="F40" i="33"/>
  <c r="F28" i="33"/>
  <c r="F20" i="33"/>
  <c r="F64" i="33"/>
  <c r="F54" i="33"/>
  <c r="F39" i="33"/>
  <c r="F35" i="33"/>
  <c r="F27" i="33"/>
  <c r="F62" i="33"/>
  <c r="F58" i="33"/>
  <c r="F55" i="33"/>
  <c r="F38" i="33"/>
  <c r="F34" i="33"/>
  <c r="F25" i="33"/>
  <c r="N25" i="33"/>
  <c r="V24" i="18"/>
  <c r="J28" i="18"/>
  <c r="V32" i="18"/>
  <c r="J36" i="18"/>
  <c r="V40" i="18"/>
  <c r="J44" i="18"/>
  <c r="V48" i="18"/>
  <c r="J52" i="18"/>
  <c r="J58" i="18"/>
  <c r="J60" i="18"/>
  <c r="V64" i="18"/>
  <c r="J68" i="18"/>
  <c r="J72" i="18"/>
  <c r="V76" i="18"/>
  <c r="J80" i="18"/>
  <c r="V84" i="18"/>
  <c r="J88" i="18"/>
  <c r="J92" i="18"/>
  <c r="V96" i="18"/>
  <c r="J100" i="18"/>
  <c r="J104" i="18"/>
  <c r="V108" i="18"/>
  <c r="J112" i="18"/>
  <c r="J116" i="18"/>
  <c r="J120" i="18"/>
  <c r="J124" i="18"/>
  <c r="J128" i="18"/>
  <c r="J132" i="18"/>
  <c r="V136" i="18"/>
  <c r="J138" i="18"/>
  <c r="V140" i="18"/>
  <c r="J144" i="18"/>
  <c r="J148" i="18"/>
  <c r="V150" i="18"/>
  <c r="J157" i="18"/>
  <c r="R21" i="19"/>
  <c r="V25" i="19"/>
  <c r="F29" i="19"/>
  <c r="V29" i="19"/>
  <c r="F33" i="19"/>
  <c r="V33" i="19"/>
  <c r="F36" i="19"/>
  <c r="V36" i="19"/>
  <c r="J16" i="20"/>
  <c r="J20" i="20"/>
  <c r="V22" i="20"/>
  <c r="P23" i="21"/>
  <c r="V30" i="21"/>
  <c r="R31" i="21"/>
  <c r="J34" i="21"/>
  <c r="R36" i="21"/>
  <c r="J38" i="21"/>
  <c r="V42" i="21"/>
  <c r="R43" i="21"/>
  <c r="J46" i="21"/>
  <c r="V50" i="21"/>
  <c r="J54" i="21"/>
  <c r="R56" i="21"/>
  <c r="V58" i="21"/>
  <c r="R59" i="21"/>
  <c r="J60" i="21"/>
  <c r="R64" i="21"/>
  <c r="V66" i="21"/>
  <c r="R67" i="21"/>
  <c r="V70" i="21"/>
  <c r="R71" i="21"/>
  <c r="J72" i="21"/>
  <c r="V74" i="21"/>
  <c r="R75" i="21"/>
  <c r="J76" i="21"/>
  <c r="V78" i="21"/>
  <c r="R79" i="21"/>
  <c r="V82" i="21"/>
  <c r="R83" i="21"/>
  <c r="V86" i="21"/>
  <c r="R90" i="21"/>
  <c r="J18" i="22"/>
  <c r="F24" i="22"/>
  <c r="V24" i="22"/>
  <c r="F21" i="23"/>
  <c r="J25" i="23"/>
  <c r="R27" i="23"/>
  <c r="J29" i="23"/>
  <c r="R31" i="23"/>
  <c r="J33" i="23"/>
  <c r="R34" i="23"/>
  <c r="J36" i="23"/>
  <c r="R75" i="24"/>
  <c r="R68" i="24"/>
  <c r="R63" i="24"/>
  <c r="R51" i="24"/>
  <c r="R43" i="24"/>
  <c r="R39" i="24"/>
  <c r="R82" i="24"/>
  <c r="R67" i="24"/>
  <c r="R64" i="24"/>
  <c r="R47" i="24"/>
  <c r="R26" i="24"/>
  <c r="R34" i="24"/>
  <c r="J37" i="24"/>
  <c r="R42" i="24"/>
  <c r="R44" i="24"/>
  <c r="R48" i="24"/>
  <c r="R52" i="24"/>
  <c r="J53" i="24"/>
  <c r="V55" i="24"/>
  <c r="V56" i="24"/>
  <c r="V61" i="24"/>
  <c r="J65" i="24"/>
  <c r="V68" i="24"/>
  <c r="J72" i="24"/>
  <c r="R80" i="24"/>
  <c r="R86" i="24"/>
  <c r="N19" i="30"/>
  <c r="F110" i="36"/>
  <c r="F101" i="36"/>
  <c r="F94" i="36"/>
  <c r="F86" i="36"/>
  <c r="F81" i="36"/>
  <c r="F78" i="36"/>
  <c r="F74" i="36"/>
  <c r="F69" i="36"/>
  <c r="F66" i="36"/>
  <c r="F61" i="36"/>
  <c r="F58" i="36"/>
  <c r="F42" i="36"/>
  <c r="F38" i="36"/>
  <c r="F30" i="36"/>
  <c r="F104" i="36"/>
  <c r="F93" i="36"/>
  <c r="F89" i="36"/>
  <c r="F85" i="36"/>
  <c r="F77" i="36"/>
  <c r="F57" i="36"/>
  <c r="F52" i="36"/>
  <c r="F49" i="36"/>
  <c r="F41" i="36"/>
  <c r="F37" i="36"/>
  <c r="F29" i="36"/>
  <c r="F21" i="36"/>
  <c r="F113" i="36"/>
  <c r="F100" i="36"/>
  <c r="F92" i="36"/>
  <c r="F88" i="36"/>
  <c r="F84" i="36"/>
  <c r="F80" i="36"/>
  <c r="F76" i="36"/>
  <c r="F71" i="36"/>
  <c r="F68" i="36"/>
  <c r="F63" i="36"/>
  <c r="F60" i="36"/>
  <c r="F48" i="36"/>
  <c r="F40" i="36"/>
  <c r="F36" i="36"/>
  <c r="F27" i="36"/>
  <c r="F106" i="36"/>
  <c r="F103" i="36"/>
  <c r="F99" i="36"/>
  <c r="F91" i="36"/>
  <c r="F83" i="36"/>
  <c r="F54" i="36"/>
  <c r="F51" i="36"/>
  <c r="F47" i="36"/>
  <c r="F35" i="36"/>
  <c r="F115" i="36"/>
  <c r="F109" i="36"/>
  <c r="F102" i="36"/>
  <c r="F98" i="36"/>
  <c r="F82" i="36"/>
  <c r="F73" i="36"/>
  <c r="F70" i="36"/>
  <c r="F65" i="36"/>
  <c r="F62" i="36"/>
  <c r="F46" i="36"/>
  <c r="F34" i="36"/>
  <c r="F105" i="36"/>
  <c r="F97" i="36"/>
  <c r="F56" i="36"/>
  <c r="F53" i="36"/>
  <c r="F45" i="36"/>
  <c r="F33" i="36"/>
  <c r="F28" i="36"/>
  <c r="F20" i="36"/>
  <c r="F108" i="36"/>
  <c r="F96" i="36"/>
  <c r="F87" i="36"/>
  <c r="F79" i="36"/>
  <c r="F75" i="36"/>
  <c r="F72" i="36"/>
  <c r="F67" i="36"/>
  <c r="F64" i="36"/>
  <c r="F59" i="36"/>
  <c r="F44" i="36"/>
  <c r="F39" i="36"/>
  <c r="F32" i="36"/>
  <c r="F25" i="36"/>
  <c r="L12" i="36"/>
  <c r="N12" i="36" s="1"/>
  <c r="D25" i="36"/>
  <c r="F55" i="36"/>
  <c r="F50" i="36"/>
  <c r="F119" i="36"/>
  <c r="F107" i="36"/>
  <c r="F95" i="36"/>
  <c r="F90" i="36"/>
  <c r="F112" i="36"/>
  <c r="F31" i="36"/>
  <c r="F22" i="36"/>
  <c r="F23" i="36"/>
  <c r="F114" i="36"/>
  <c r="F43" i="36"/>
  <c r="Z12" i="16"/>
  <c r="V16" i="16"/>
  <c r="V25" i="18"/>
  <c r="J29" i="18"/>
  <c r="V33" i="18"/>
  <c r="J37" i="18"/>
  <c r="V41" i="18"/>
  <c r="J45" i="18"/>
  <c r="V49" i="18"/>
  <c r="J53" i="18"/>
  <c r="T56" i="18"/>
  <c r="V56" i="18" s="1"/>
  <c r="J61" i="18"/>
  <c r="V65" i="18"/>
  <c r="J69" i="18"/>
  <c r="J73" i="18"/>
  <c r="V77" i="18"/>
  <c r="V81" i="18"/>
  <c r="J83" i="18"/>
  <c r="J89" i="18"/>
  <c r="V93" i="18"/>
  <c r="J95" i="18"/>
  <c r="J101" i="18"/>
  <c r="V105" i="18"/>
  <c r="J107" i="18"/>
  <c r="V113" i="18"/>
  <c r="J117" i="18"/>
  <c r="J121" i="18"/>
  <c r="J125" i="18"/>
  <c r="J129" i="18"/>
  <c r="J133" i="18"/>
  <c r="V137" i="18"/>
  <c r="J145" i="18"/>
  <c r="J152" i="18"/>
  <c r="V153" i="18"/>
  <c r="V161" i="18"/>
  <c r="N12" i="19"/>
  <c r="F18" i="19"/>
  <c r="V18" i="19"/>
  <c r="R24" i="19"/>
  <c r="L12" i="20"/>
  <c r="F15" i="20"/>
  <c r="V15" i="20"/>
  <c r="D18" i="20"/>
  <c r="T18" i="20"/>
  <c r="R21" i="20"/>
  <c r="F25" i="20"/>
  <c r="V25" i="20"/>
  <c r="F29" i="20"/>
  <c r="V29" i="20"/>
  <c r="F33" i="20"/>
  <c r="V33" i="20"/>
  <c r="V36" i="20"/>
  <c r="J19" i="21"/>
  <c r="R23" i="21"/>
  <c r="J25" i="21"/>
  <c r="J27" i="21"/>
  <c r="V31" i="21"/>
  <c r="R32" i="21"/>
  <c r="J35" i="21"/>
  <c r="J39" i="21"/>
  <c r="V43" i="21"/>
  <c r="R44" i="21"/>
  <c r="V47" i="21"/>
  <c r="R48" i="21"/>
  <c r="J49" i="21"/>
  <c r="R53" i="21"/>
  <c r="J55" i="21"/>
  <c r="V59" i="21"/>
  <c r="J63" i="21"/>
  <c r="V67" i="21"/>
  <c r="R68" i="21"/>
  <c r="V71" i="21"/>
  <c r="V75" i="21"/>
  <c r="V79" i="21"/>
  <c r="R80" i="21"/>
  <c r="V83" i="21"/>
  <c r="R84" i="21"/>
  <c r="J85" i="21"/>
  <c r="X12" i="22"/>
  <c r="J21" i="22"/>
  <c r="F27" i="22"/>
  <c r="V27" i="22"/>
  <c r="F31" i="22"/>
  <c r="V31" i="22"/>
  <c r="F34" i="22"/>
  <c r="V34" i="22"/>
  <c r="R16" i="23"/>
  <c r="J18" i="23"/>
  <c r="R20" i="23"/>
  <c r="F24" i="23"/>
  <c r="V74" i="24"/>
  <c r="V62" i="24"/>
  <c r="V54" i="24"/>
  <c r="V50" i="24"/>
  <c r="V42" i="24"/>
  <c r="V78" i="24"/>
  <c r="V70" i="24"/>
  <c r="V66" i="24"/>
  <c r="V58" i="24"/>
  <c r="V46" i="24"/>
  <c r="V18" i="24"/>
  <c r="R19" i="24"/>
  <c r="J22" i="24"/>
  <c r="V26" i="24"/>
  <c r="R27" i="24"/>
  <c r="J30" i="24"/>
  <c r="R32" i="24"/>
  <c r="V34" i="24"/>
  <c r="R35" i="24"/>
  <c r="J38" i="24"/>
  <c r="V44" i="24"/>
  <c r="R45" i="24"/>
  <c r="R46" i="24"/>
  <c r="V48" i="24"/>
  <c r="R49" i="24"/>
  <c r="R50" i="24"/>
  <c r="V52" i="24"/>
  <c r="J59" i="24"/>
  <c r="R62" i="24"/>
  <c r="V63" i="24"/>
  <c r="N66" i="24"/>
  <c r="R71" i="24"/>
  <c r="J73" i="24"/>
  <c r="V79" i="24"/>
  <c r="V80" i="24"/>
  <c r="V86" i="24"/>
  <c r="L12" i="25"/>
  <c r="L13" i="25"/>
  <c r="N15" i="25"/>
  <c r="H18" i="25"/>
  <c r="L18" i="25" s="1"/>
  <c r="L25" i="25"/>
  <c r="Z66" i="30"/>
  <c r="N76" i="30"/>
  <c r="Z97" i="30"/>
  <c r="Z109" i="30"/>
  <c r="N111" i="30"/>
  <c r="Z26" i="33"/>
  <c r="X34" i="17"/>
  <c r="J22" i="18"/>
  <c r="V26" i="18"/>
  <c r="J30" i="18"/>
  <c r="V34" i="18"/>
  <c r="J38" i="18"/>
  <c r="V42" i="18"/>
  <c r="J46" i="18"/>
  <c r="V50" i="18"/>
  <c r="J54" i="18"/>
  <c r="J62" i="18"/>
  <c r="V66" i="18"/>
  <c r="V70" i="18"/>
  <c r="J74" i="18"/>
  <c r="V78" i="18"/>
  <c r="X81" i="18"/>
  <c r="Z81" i="18" s="1"/>
  <c r="V82" i="18"/>
  <c r="L83" i="18"/>
  <c r="N83" i="18" s="1"/>
  <c r="J86" i="18"/>
  <c r="V90" i="18"/>
  <c r="X93" i="18"/>
  <c r="Z93" i="18" s="1"/>
  <c r="V94" i="18"/>
  <c r="L95" i="18"/>
  <c r="N95" i="18" s="1"/>
  <c r="J98" i="18"/>
  <c r="V102" i="18"/>
  <c r="X105" i="18"/>
  <c r="Z105" i="18" s="1"/>
  <c r="V106" i="18"/>
  <c r="L107" i="18"/>
  <c r="N107" i="18" s="1"/>
  <c r="J110" i="18"/>
  <c r="X113" i="18"/>
  <c r="Z113" i="18" s="1"/>
  <c r="V114" i="18"/>
  <c r="V118" i="18"/>
  <c r="J122" i="18"/>
  <c r="J126" i="18"/>
  <c r="V130" i="18"/>
  <c r="J134" i="18"/>
  <c r="J142" i="18"/>
  <c r="J146" i="18"/>
  <c r="J150" i="18"/>
  <c r="J155" i="18"/>
  <c r="V156" i="18"/>
  <c r="F21" i="19"/>
  <c r="V21" i="19"/>
  <c r="L22" i="19"/>
  <c r="R27" i="19"/>
  <c r="R31" i="19"/>
  <c r="R34" i="19"/>
  <c r="N12" i="20"/>
  <c r="X15" i="20"/>
  <c r="V18" i="20"/>
  <c r="J22" i="20"/>
  <c r="R24" i="20"/>
  <c r="X25" i="20"/>
  <c r="X29" i="20"/>
  <c r="X33" i="20"/>
  <c r="R18" i="21"/>
  <c r="J20" i="21"/>
  <c r="T23" i="21"/>
  <c r="L25" i="21"/>
  <c r="N25" i="21" s="1"/>
  <c r="R26" i="21"/>
  <c r="J28" i="21"/>
  <c r="V32" i="21"/>
  <c r="R33" i="21"/>
  <c r="V36" i="21"/>
  <c r="R37" i="21"/>
  <c r="J40" i="21"/>
  <c r="V44" i="21"/>
  <c r="R45" i="21"/>
  <c r="V48" i="21"/>
  <c r="J52" i="21"/>
  <c r="V56" i="21"/>
  <c r="R57" i="21"/>
  <c r="J58" i="21"/>
  <c r="R62" i="21"/>
  <c r="V64" i="21"/>
  <c r="R65" i="21"/>
  <c r="J66" i="21"/>
  <c r="V68" i="21"/>
  <c r="R69" i="21"/>
  <c r="J70" i="21"/>
  <c r="V80" i="21"/>
  <c r="R81" i="21"/>
  <c r="J82" i="21"/>
  <c r="V84" i="21"/>
  <c r="L85" i="21"/>
  <c r="J88" i="21"/>
  <c r="V90" i="21"/>
  <c r="J94" i="21"/>
  <c r="Z12" i="22"/>
  <c r="V16" i="22"/>
  <c r="V20" i="22"/>
  <c r="J24" i="22"/>
  <c r="X34" i="22"/>
  <c r="X12" i="23"/>
  <c r="X24" i="23"/>
  <c r="F27" i="23"/>
  <c r="F31" i="23"/>
  <c r="F34" i="23"/>
  <c r="X12" i="24"/>
  <c r="Z12" i="24" s="1"/>
  <c r="X18" i="24"/>
  <c r="Z18" i="24" s="1"/>
  <c r="R20" i="24"/>
  <c r="R28" i="24"/>
  <c r="J33" i="24"/>
  <c r="R36" i="24"/>
  <c r="J39" i="24"/>
  <c r="J40" i="24"/>
  <c r="V45" i="24"/>
  <c r="V49" i="24"/>
  <c r="R57" i="24"/>
  <c r="R58" i="24"/>
  <c r="N59" i="24"/>
  <c r="J66" i="24"/>
  <c r="J67" i="24"/>
  <c r="J77" i="24"/>
  <c r="V82" i="24"/>
  <c r="F124" i="30"/>
  <c r="F119" i="30"/>
  <c r="F117" i="30"/>
  <c r="F112" i="30"/>
  <c r="F104" i="30"/>
  <c r="F79" i="30"/>
  <c r="F60" i="30"/>
  <c r="F48" i="30"/>
  <c r="F43" i="30"/>
  <c r="F32" i="30"/>
  <c r="F24" i="30"/>
  <c r="F19" i="30"/>
  <c r="F115" i="30"/>
  <c r="F90" i="30"/>
  <c r="F87" i="30"/>
  <c r="F82" i="30"/>
  <c r="F75" i="30"/>
  <c r="F70" i="30"/>
  <c r="F67" i="30"/>
  <c r="F59" i="30"/>
  <c r="F47" i="30"/>
  <c r="F31" i="30"/>
  <c r="F23" i="30"/>
  <c r="F109" i="30"/>
  <c r="F97" i="30"/>
  <c r="F93" i="30"/>
  <c r="F78" i="30"/>
  <c r="F58" i="30"/>
  <c r="F53" i="30"/>
  <c r="F46" i="30"/>
  <c r="D40" i="30"/>
  <c r="F38" i="30"/>
  <c r="F30" i="30"/>
  <c r="F22" i="30"/>
  <c r="L12" i="30"/>
  <c r="N12" i="30" s="1"/>
  <c r="F118" i="30"/>
  <c r="F100" i="30"/>
  <c r="F89" i="30"/>
  <c r="F84" i="30"/>
  <c r="F81" i="30"/>
  <c r="F77" i="30"/>
  <c r="F72" i="30"/>
  <c r="F69" i="30"/>
  <c r="F64" i="30"/>
  <c r="F57" i="30"/>
  <c r="F45" i="30"/>
  <c r="F37" i="30"/>
  <c r="F29" i="30"/>
  <c r="F21" i="30"/>
  <c r="F111" i="30"/>
  <c r="F108" i="30"/>
  <c r="F103" i="30"/>
  <c r="F96" i="30"/>
  <c r="F92" i="30"/>
  <c r="F80" i="30"/>
  <c r="F56" i="30"/>
  <c r="F52" i="30"/>
  <c r="F44" i="30"/>
  <c r="F36" i="30"/>
  <c r="F28" i="30"/>
  <c r="F20" i="30"/>
  <c r="F120" i="30"/>
  <c r="F114" i="30"/>
  <c r="F107" i="30"/>
  <c r="F99" i="30"/>
  <c r="F95" i="30"/>
  <c r="F91" i="30"/>
  <c r="F86" i="30"/>
  <c r="F83" i="30"/>
  <c r="F74" i="30"/>
  <c r="F71" i="30"/>
  <c r="F66" i="30"/>
  <c r="F63" i="30"/>
  <c r="F55" i="30"/>
  <c r="F51" i="30"/>
  <c r="F42" i="30"/>
  <c r="F35" i="30"/>
  <c r="F27" i="30"/>
  <c r="F110" i="30"/>
  <c r="F106" i="30"/>
  <c r="F102" i="30"/>
  <c r="F98" i="30"/>
  <c r="F94" i="30"/>
  <c r="F62" i="30"/>
  <c r="F54" i="30"/>
  <c r="F50" i="30"/>
  <c r="F34" i="30"/>
  <c r="F26" i="30"/>
  <c r="F113" i="30"/>
  <c r="F105" i="30"/>
  <c r="F101" i="30"/>
  <c r="F88" i="30"/>
  <c r="F85" i="30"/>
  <c r="F76" i="30"/>
  <c r="F73" i="30"/>
  <c r="F68" i="30"/>
  <c r="F65" i="30"/>
  <c r="F61" i="30"/>
  <c r="F49" i="30"/>
  <c r="F33" i="30"/>
  <c r="F25" i="30"/>
  <c r="T31" i="32"/>
  <c r="Z27" i="32"/>
  <c r="J23" i="18"/>
  <c r="V27" i="18"/>
  <c r="J31" i="18"/>
  <c r="V35" i="18"/>
  <c r="J39" i="18"/>
  <c r="V43" i="18"/>
  <c r="J47" i="18"/>
  <c r="V51" i="18"/>
  <c r="H56" i="18"/>
  <c r="V59" i="18"/>
  <c r="J63" i="18"/>
  <c r="V67" i="18"/>
  <c r="V71" i="18"/>
  <c r="J75" i="18"/>
  <c r="V79" i="18"/>
  <c r="J81" i="18"/>
  <c r="V87" i="18"/>
  <c r="V91" i="18"/>
  <c r="J93" i="18"/>
  <c r="V99" i="18"/>
  <c r="V103" i="18"/>
  <c r="J105" i="18"/>
  <c r="V111" i="18"/>
  <c r="J113" i="18"/>
  <c r="V115" i="18"/>
  <c r="V119" i="18"/>
  <c r="V123" i="18"/>
  <c r="V127" i="18"/>
  <c r="V131" i="18"/>
  <c r="J135" i="18"/>
  <c r="J139" i="18"/>
  <c r="V143" i="18"/>
  <c r="V147" i="18"/>
  <c r="V151" i="18"/>
  <c r="R16" i="19"/>
  <c r="Z18" i="19"/>
  <c r="V24" i="19"/>
  <c r="J15" i="20"/>
  <c r="H18" i="20"/>
  <c r="V21" i="20"/>
  <c r="J25" i="20"/>
  <c r="R27" i="20"/>
  <c r="J29" i="20"/>
  <c r="R31" i="20"/>
  <c r="J33" i="20"/>
  <c r="J36" i="20"/>
  <c r="J21" i="21"/>
  <c r="V23" i="21"/>
  <c r="J29" i="21"/>
  <c r="V33" i="21"/>
  <c r="R34" i="21"/>
  <c r="V37" i="21"/>
  <c r="R38" i="21"/>
  <c r="J41" i="21"/>
  <c r="V45" i="21"/>
  <c r="R46" i="21"/>
  <c r="J47" i="21"/>
  <c r="R51" i="21"/>
  <c r="V53" i="21"/>
  <c r="R54" i="21"/>
  <c r="V57" i="21"/>
  <c r="J61" i="21"/>
  <c r="V65" i="21"/>
  <c r="V69" i="21"/>
  <c r="J73" i="21"/>
  <c r="J77" i="21"/>
  <c r="V81" i="21"/>
  <c r="R87" i="21"/>
  <c r="J27" i="22"/>
  <c r="J31" i="22"/>
  <c r="J34" i="22"/>
  <c r="X13" i="23"/>
  <c r="F16" i="23"/>
  <c r="N18" i="23"/>
  <c r="R22" i="23"/>
  <c r="J24" i="23"/>
  <c r="L16" i="24"/>
  <c r="J18" i="24"/>
  <c r="R21" i="24"/>
  <c r="J24" i="24"/>
  <c r="R37" i="24"/>
  <c r="J41" i="24"/>
  <c r="J55" i="24"/>
  <c r="J60" i="24"/>
  <c r="R65" i="24"/>
  <c r="V71" i="24"/>
  <c r="R72" i="24"/>
  <c r="J74" i="24"/>
  <c r="J75" i="24"/>
  <c r="J76" i="24"/>
  <c r="R18" i="25"/>
  <c r="R36" i="25"/>
  <c r="R33" i="25"/>
  <c r="R29" i="25"/>
  <c r="R25" i="25"/>
  <c r="P18" i="25"/>
  <c r="R22" i="25"/>
  <c r="X12" i="25"/>
  <c r="R20" i="25"/>
  <c r="R16" i="25"/>
  <c r="R34" i="25"/>
  <c r="R31" i="25"/>
  <c r="R27" i="25"/>
  <c r="N22" i="25"/>
  <c r="L22" i="25"/>
  <c r="L33" i="25"/>
  <c r="N117" i="30"/>
  <c r="J24" i="18"/>
  <c r="V28" i="18"/>
  <c r="J32" i="18"/>
  <c r="V36" i="18"/>
  <c r="J40" i="18"/>
  <c r="V44" i="18"/>
  <c r="J48" i="18"/>
  <c r="V52" i="18"/>
  <c r="J56" i="18"/>
  <c r="V60" i="18"/>
  <c r="J64" i="18"/>
  <c r="V68" i="18"/>
  <c r="J70" i="18"/>
  <c r="V72" i="18"/>
  <c r="J76" i="18"/>
  <c r="V80" i="18"/>
  <c r="J84" i="18"/>
  <c r="V88" i="18"/>
  <c r="J90" i="18"/>
  <c r="V92" i="18"/>
  <c r="J96" i="18"/>
  <c r="V100" i="18"/>
  <c r="J102" i="18"/>
  <c r="V104" i="18"/>
  <c r="J108" i="18"/>
  <c r="V112" i="18"/>
  <c r="V116" i="18"/>
  <c r="J118" i="18"/>
  <c r="V120" i="18"/>
  <c r="V124" i="18"/>
  <c r="V128" i="18"/>
  <c r="J130" i="18"/>
  <c r="V132" i="18"/>
  <c r="J136" i="18"/>
  <c r="J140" i="18"/>
  <c r="V144" i="18"/>
  <c r="V148" i="18"/>
  <c r="V27" i="19"/>
  <c r="V31" i="19"/>
  <c r="V18" i="21"/>
  <c r="H23" i="21"/>
  <c r="V26" i="21"/>
  <c r="R27" i="21"/>
  <c r="J30" i="21"/>
  <c r="V34" i="21"/>
  <c r="R35" i="21"/>
  <c r="J36" i="21"/>
  <c r="V38" i="21"/>
  <c r="R39" i="21"/>
  <c r="J42" i="21"/>
  <c r="V46" i="21"/>
  <c r="J50" i="21"/>
  <c r="V54" i="21"/>
  <c r="R55" i="21"/>
  <c r="J56" i="21"/>
  <c r="R60" i="21"/>
  <c r="R63" i="21"/>
  <c r="J64" i="21"/>
  <c r="R72" i="21"/>
  <c r="J74" i="21"/>
  <c r="R76" i="21"/>
  <c r="J78" i="21"/>
  <c r="J86" i="21"/>
  <c r="J90" i="21"/>
  <c r="J16" i="22"/>
  <c r="R15" i="23"/>
  <c r="P18" i="23"/>
  <c r="R25" i="23"/>
  <c r="J27" i="23"/>
  <c r="R29" i="23"/>
  <c r="J31" i="23"/>
  <c r="R33" i="23"/>
  <c r="R22" i="24"/>
  <c r="J25" i="24"/>
  <c r="P30" i="24"/>
  <c r="R30" i="24" s="1"/>
  <c r="R38" i="24"/>
  <c r="N42" i="24"/>
  <c r="R53" i="24"/>
  <c r="R54" i="24"/>
  <c r="V57" i="24"/>
  <c r="R59" i="24"/>
  <c r="J61" i="24"/>
  <c r="V64" i="24"/>
  <c r="V65" i="24"/>
  <c r="J69" i="24"/>
  <c r="V72" i="24"/>
  <c r="R73" i="24"/>
  <c r="L74" i="24"/>
  <c r="N74" i="24" s="1"/>
  <c r="J79" i="24"/>
  <c r="R15" i="25"/>
  <c r="T93" i="27"/>
  <c r="N56" i="27"/>
  <c r="T31" i="28"/>
  <c r="Z27" i="28"/>
  <c r="N103" i="30"/>
  <c r="J20" i="27"/>
  <c r="J28" i="27"/>
  <c r="J36" i="27"/>
  <c r="J44" i="27"/>
  <c r="J48" i="27"/>
  <c r="V52" i="27"/>
  <c r="V56" i="27"/>
  <c r="J58" i="27"/>
  <c r="V64" i="27"/>
  <c r="J66" i="27"/>
  <c r="J76" i="27"/>
  <c r="V80" i="27"/>
  <c r="V84" i="27"/>
  <c r="V24" i="29"/>
  <c r="V20" i="30"/>
  <c r="V28" i="30"/>
  <c r="V36" i="30"/>
  <c r="V44" i="30"/>
  <c r="V52" i="30"/>
  <c r="V56" i="30"/>
  <c r="V68" i="30"/>
  <c r="J70" i="30"/>
  <c r="V76" i="30"/>
  <c r="V80" i="30"/>
  <c r="J82" i="30"/>
  <c r="V88" i="30"/>
  <c r="J90" i="30"/>
  <c r="V92" i="30"/>
  <c r="V96" i="30"/>
  <c r="J104" i="30"/>
  <c r="V108" i="30"/>
  <c r="J112" i="30"/>
  <c r="J119" i="30"/>
  <c r="V120" i="30"/>
  <c r="J124" i="30"/>
  <c r="F34" i="32"/>
  <c r="N49" i="33"/>
  <c r="F34" i="35"/>
  <c r="J93" i="36"/>
  <c r="J89" i="36"/>
  <c r="J85" i="36"/>
  <c r="J77" i="36"/>
  <c r="J71" i="36"/>
  <c r="J63" i="36"/>
  <c r="J57" i="36"/>
  <c r="J49" i="36"/>
  <c r="J41" i="36"/>
  <c r="J37" i="36"/>
  <c r="J29" i="36"/>
  <c r="J27" i="36"/>
  <c r="J113" i="36"/>
  <c r="J106" i="36"/>
  <c r="J100" i="36"/>
  <c r="J92" i="36"/>
  <c r="J88" i="36"/>
  <c r="J84" i="36"/>
  <c r="J80" i="36"/>
  <c r="J76" i="36"/>
  <c r="J68" i="36"/>
  <c r="J60" i="36"/>
  <c r="J54" i="36"/>
  <c r="J48" i="36"/>
  <c r="J40" i="36"/>
  <c r="J36" i="36"/>
  <c r="J109" i="36"/>
  <c r="J103" i="36"/>
  <c r="J99" i="36"/>
  <c r="J91" i="36"/>
  <c r="J83" i="36"/>
  <c r="J73" i="36"/>
  <c r="J65" i="36"/>
  <c r="J51" i="36"/>
  <c r="J47" i="36"/>
  <c r="J35" i="36"/>
  <c r="J115" i="36"/>
  <c r="J102" i="36"/>
  <c r="J98" i="36"/>
  <c r="J82" i="36"/>
  <c r="J70" i="36"/>
  <c r="J62" i="36"/>
  <c r="J56" i="36"/>
  <c r="J46" i="36"/>
  <c r="J34" i="36"/>
  <c r="J28" i="36"/>
  <c r="J20" i="36"/>
  <c r="J105" i="36"/>
  <c r="J97" i="36"/>
  <c r="J87" i="36"/>
  <c r="J79" i="36"/>
  <c r="J75" i="36"/>
  <c r="J67" i="36"/>
  <c r="J59" i="36"/>
  <c r="J53" i="36"/>
  <c r="J45" i="36"/>
  <c r="J39" i="36"/>
  <c r="J33" i="36"/>
  <c r="J112" i="36"/>
  <c r="J108" i="36"/>
  <c r="J96" i="36"/>
  <c r="J90" i="36"/>
  <c r="J72" i="36"/>
  <c r="J64" i="36"/>
  <c r="J50" i="36"/>
  <c r="J44" i="36"/>
  <c r="J32" i="36"/>
  <c r="H25" i="36"/>
  <c r="J25" i="36" s="1"/>
  <c r="J119" i="36"/>
  <c r="J114" i="36"/>
  <c r="J107" i="36"/>
  <c r="J101" i="36"/>
  <c r="J95" i="36"/>
  <c r="J81" i="36"/>
  <c r="J69" i="36"/>
  <c r="J61" i="36"/>
  <c r="J55" i="36"/>
  <c r="J43" i="36"/>
  <c r="J31" i="36"/>
  <c r="J23" i="36"/>
  <c r="T117" i="36"/>
  <c r="J58" i="36"/>
  <c r="J66" i="36"/>
  <c r="Z83" i="39"/>
  <c r="F20" i="40"/>
  <c r="F16" i="40"/>
  <c r="F34" i="40"/>
  <c r="F31" i="40"/>
  <c r="F27" i="40"/>
  <c r="F24" i="40"/>
  <c r="F21" i="40"/>
  <c r="F18" i="40"/>
  <c r="F36" i="40"/>
  <c r="F33" i="40"/>
  <c r="F29" i="40"/>
  <c r="F25" i="40"/>
  <c r="D18" i="40"/>
  <c r="F15" i="40"/>
  <c r="L12" i="40"/>
  <c r="F22" i="40"/>
  <c r="H79" i="48"/>
  <c r="Z27" i="49"/>
  <c r="T31" i="49"/>
  <c r="J37" i="27"/>
  <c r="J49" i="27"/>
  <c r="J61" i="27"/>
  <c r="J69" i="27"/>
  <c r="J73" i="27"/>
  <c r="V77" i="27"/>
  <c r="V81" i="27"/>
  <c r="J86" i="27"/>
  <c r="V87" i="27"/>
  <c r="J91" i="27"/>
  <c r="V93" i="27"/>
  <c r="V27" i="29"/>
  <c r="V31" i="29"/>
  <c r="V34" i="29"/>
  <c r="V21" i="30"/>
  <c r="V29" i="30"/>
  <c r="V37" i="30"/>
  <c r="J43" i="30"/>
  <c r="V45" i="30"/>
  <c r="V57" i="30"/>
  <c r="J61" i="30"/>
  <c r="J65" i="30"/>
  <c r="V69" i="30"/>
  <c r="J73" i="30"/>
  <c r="V77" i="30"/>
  <c r="J79" i="30"/>
  <c r="V81" i="30"/>
  <c r="J85" i="30"/>
  <c r="V89" i="30"/>
  <c r="J101" i="30"/>
  <c r="J105" i="30"/>
  <c r="J113" i="30"/>
  <c r="J117" i="30"/>
  <c r="P18" i="31"/>
  <c r="R25" i="31"/>
  <c r="J27" i="31"/>
  <c r="R29" i="31"/>
  <c r="J31" i="31"/>
  <c r="R33" i="31"/>
  <c r="J34" i="31"/>
  <c r="R36" i="31"/>
  <c r="X13" i="32"/>
  <c r="F20" i="32"/>
  <c r="R22" i="32"/>
  <c r="L16" i="33"/>
  <c r="J49" i="33"/>
  <c r="N62" i="33"/>
  <c r="L73" i="33"/>
  <c r="D72" i="33"/>
  <c r="L72" i="33" s="1"/>
  <c r="F34" i="34"/>
  <c r="F31" i="34"/>
  <c r="F27" i="34"/>
  <c r="F24" i="34"/>
  <c r="F21" i="34"/>
  <c r="F18" i="34"/>
  <c r="L13" i="34"/>
  <c r="F16" i="34"/>
  <c r="X13" i="35"/>
  <c r="F27" i="35"/>
  <c r="L14" i="36"/>
  <c r="Z50" i="36"/>
  <c r="Z87" i="36"/>
  <c r="J94" i="36"/>
  <c r="L101" i="36"/>
  <c r="N104" i="36"/>
  <c r="X13" i="37"/>
  <c r="Z27" i="39"/>
  <c r="F35" i="39"/>
  <c r="V42" i="39"/>
  <c r="F47" i="39"/>
  <c r="N64" i="39"/>
  <c r="V70" i="39"/>
  <c r="V74" i="39"/>
  <c r="X15" i="26"/>
  <c r="X25" i="26"/>
  <c r="X29" i="26"/>
  <c r="X33" i="26"/>
  <c r="N12" i="27"/>
  <c r="J22" i="27"/>
  <c r="H31" i="27"/>
  <c r="V34" i="27"/>
  <c r="J38" i="27"/>
  <c r="V42" i="27"/>
  <c r="X45" i="27"/>
  <c r="Z45" i="27" s="1"/>
  <c r="V46" i="27"/>
  <c r="J50" i="27"/>
  <c r="V54" i="27"/>
  <c r="J56" i="27"/>
  <c r="V62" i="27"/>
  <c r="J64" i="27"/>
  <c r="J70" i="27"/>
  <c r="V74" i="27"/>
  <c r="X77" i="27"/>
  <c r="Z77" i="27" s="1"/>
  <c r="V78" i="27"/>
  <c r="J80" i="27"/>
  <c r="P83" i="27"/>
  <c r="X83" i="27" s="1"/>
  <c r="Z83" i="27" s="1"/>
  <c r="X16" i="28"/>
  <c r="P18" i="28"/>
  <c r="X20" i="28"/>
  <c r="L24" i="28"/>
  <c r="R25" i="28"/>
  <c r="R29" i="28"/>
  <c r="R33" i="28"/>
  <c r="R36" i="28"/>
  <c r="Z12" i="29"/>
  <c r="V16" i="29"/>
  <c r="V20" i="29"/>
  <c r="L21" i="29"/>
  <c r="X34" i="29"/>
  <c r="L19" i="30"/>
  <c r="V22" i="30"/>
  <c r="V30" i="30"/>
  <c r="V38" i="30"/>
  <c r="V42" i="30"/>
  <c r="L43" i="30"/>
  <c r="N43" i="30" s="1"/>
  <c r="V46" i="30"/>
  <c r="J50" i="30"/>
  <c r="J54" i="30"/>
  <c r="V58" i="30"/>
  <c r="J62" i="30"/>
  <c r="V66" i="30"/>
  <c r="J68" i="30"/>
  <c r="V74" i="30"/>
  <c r="J76" i="30"/>
  <c r="V78" i="30"/>
  <c r="L79" i="30"/>
  <c r="N79" i="30" s="1"/>
  <c r="V86" i="30"/>
  <c r="J88" i="30"/>
  <c r="J94" i="30"/>
  <c r="J98" i="30"/>
  <c r="J102" i="30"/>
  <c r="J106" i="30"/>
  <c r="J110" i="30"/>
  <c r="V114" i="30"/>
  <c r="V118" i="30"/>
  <c r="J16" i="31"/>
  <c r="R18" i="31"/>
  <c r="J20" i="31"/>
  <c r="F22" i="31"/>
  <c r="V22" i="31"/>
  <c r="L34" i="31"/>
  <c r="X16" i="32"/>
  <c r="P18" i="32"/>
  <c r="X20" i="32"/>
  <c r="L24" i="32"/>
  <c r="R25" i="32"/>
  <c r="R29" i="32"/>
  <c r="R33" i="32"/>
  <c r="R36" i="32"/>
  <c r="L49" i="33"/>
  <c r="J21" i="34"/>
  <c r="J18" i="34"/>
  <c r="J36" i="34"/>
  <c r="J33" i="34"/>
  <c r="J29" i="34"/>
  <c r="J25" i="34"/>
  <c r="H18" i="34"/>
  <c r="J15" i="34"/>
  <c r="J22" i="34"/>
  <c r="N12" i="34"/>
  <c r="J20" i="34"/>
  <c r="X22" i="34"/>
  <c r="X16" i="35"/>
  <c r="J42" i="36"/>
  <c r="J78" i="36"/>
  <c r="J86" i="36"/>
  <c r="N101" i="36"/>
  <c r="J104" i="36"/>
  <c r="N27" i="38"/>
  <c r="H31" i="38"/>
  <c r="F67" i="39"/>
  <c r="V98" i="39"/>
  <c r="D106" i="39"/>
  <c r="L106" i="39" s="1"/>
  <c r="N106" i="39" s="1"/>
  <c r="L109" i="39"/>
  <c r="L15" i="42"/>
  <c r="D12" i="42"/>
  <c r="N26" i="42"/>
  <c r="F20" i="43"/>
  <c r="F16" i="43"/>
  <c r="F24" i="43"/>
  <c r="F21" i="43"/>
  <c r="F18" i="43"/>
  <c r="F36" i="43"/>
  <c r="F33" i="43"/>
  <c r="F29" i="43"/>
  <c r="F25" i="43"/>
  <c r="D18" i="43"/>
  <c r="F15" i="43"/>
  <c r="L12" i="43"/>
  <c r="F22" i="43"/>
  <c r="F31" i="43"/>
  <c r="F27" i="43"/>
  <c r="F34" i="43"/>
  <c r="J18" i="25"/>
  <c r="V24" i="25"/>
  <c r="V21" i="26"/>
  <c r="R27" i="26"/>
  <c r="R31" i="26"/>
  <c r="R34" i="26"/>
  <c r="P12" i="27"/>
  <c r="V19" i="27"/>
  <c r="J23" i="27"/>
  <c r="V27" i="27"/>
  <c r="J31" i="27"/>
  <c r="V35" i="27"/>
  <c r="J39" i="27"/>
  <c r="V43" i="27"/>
  <c r="J45" i="27"/>
  <c r="V47" i="27"/>
  <c r="J51" i="27"/>
  <c r="V55" i="27"/>
  <c r="J59" i="27"/>
  <c r="V63" i="27"/>
  <c r="J67" i="27"/>
  <c r="J71" i="27"/>
  <c r="V75" i="27"/>
  <c r="J77" i="27"/>
  <c r="V79" i="27"/>
  <c r="L80" i="27"/>
  <c r="J84" i="27"/>
  <c r="V85" i="27"/>
  <c r="J16" i="28"/>
  <c r="R18" i="28"/>
  <c r="J20" i="28"/>
  <c r="F22" i="28"/>
  <c r="V22" i="28"/>
  <c r="L34" i="28"/>
  <c r="R15" i="29"/>
  <c r="X16" i="29"/>
  <c r="P18" i="29"/>
  <c r="X20" i="29"/>
  <c r="L24" i="29"/>
  <c r="R25" i="29"/>
  <c r="J27" i="29"/>
  <c r="R29" i="29"/>
  <c r="J31" i="29"/>
  <c r="R33" i="29"/>
  <c r="J34" i="29"/>
  <c r="R36" i="29"/>
  <c r="V23" i="30"/>
  <c r="J27" i="30"/>
  <c r="V31" i="30"/>
  <c r="J35" i="30"/>
  <c r="V47" i="30"/>
  <c r="J51" i="30"/>
  <c r="J55" i="30"/>
  <c r="V59" i="30"/>
  <c r="J63" i="30"/>
  <c r="V67" i="30"/>
  <c r="J71" i="30"/>
  <c r="V75" i="30"/>
  <c r="J83" i="30"/>
  <c r="V87" i="30"/>
  <c r="J91" i="30"/>
  <c r="J95" i="30"/>
  <c r="J99" i="30"/>
  <c r="V103" i="30"/>
  <c r="J107" i="30"/>
  <c r="V111" i="30"/>
  <c r="V115" i="30"/>
  <c r="X118" i="30"/>
  <c r="Z118" i="30" s="1"/>
  <c r="J120" i="30"/>
  <c r="L12" i="31"/>
  <c r="F15" i="31"/>
  <c r="V15" i="31"/>
  <c r="D18" i="31"/>
  <c r="T18" i="31"/>
  <c r="R21" i="31"/>
  <c r="F25" i="31"/>
  <c r="V25" i="31"/>
  <c r="F29" i="31"/>
  <c r="V29" i="31"/>
  <c r="F33" i="31"/>
  <c r="V33" i="31"/>
  <c r="F36" i="31"/>
  <c r="V36" i="31"/>
  <c r="J16" i="32"/>
  <c r="R18" i="32"/>
  <c r="J20" i="32"/>
  <c r="F22" i="32"/>
  <c r="V22" i="32"/>
  <c r="J72" i="33"/>
  <c r="J82" i="33"/>
  <c r="J75" i="33"/>
  <c r="J67" i="33"/>
  <c r="J63" i="33"/>
  <c r="J59" i="33"/>
  <c r="J53" i="33"/>
  <c r="J70" i="33"/>
  <c r="J66" i="33"/>
  <c r="J56" i="33"/>
  <c r="J50" i="33"/>
  <c r="J65" i="33"/>
  <c r="J47" i="33"/>
  <c r="J20" i="33"/>
  <c r="T23" i="33"/>
  <c r="J28" i="33"/>
  <c r="V32" i="33"/>
  <c r="V36" i="33"/>
  <c r="J40" i="33"/>
  <c r="V44" i="33"/>
  <c r="V45" i="33"/>
  <c r="Z47" i="33"/>
  <c r="V48" i="33"/>
  <c r="L51" i="33"/>
  <c r="N51" i="33" s="1"/>
  <c r="J52" i="33"/>
  <c r="J64" i="33"/>
  <c r="N69" i="33"/>
  <c r="J73" i="33"/>
  <c r="L12" i="34"/>
  <c r="X15" i="34"/>
  <c r="J16" i="34"/>
  <c r="L20" i="34"/>
  <c r="L22" i="34"/>
  <c r="F33" i="34"/>
  <c r="F16" i="35"/>
  <c r="F22" i="35"/>
  <c r="J22" i="36"/>
  <c r="J52" i="36"/>
  <c r="N81" i="36"/>
  <c r="F62" i="39"/>
  <c r="Z103" i="39"/>
  <c r="L16" i="40"/>
  <c r="V24" i="26"/>
  <c r="V20" i="27"/>
  <c r="J24" i="27"/>
  <c r="V28" i="27"/>
  <c r="J34" i="27"/>
  <c r="V36" i="27"/>
  <c r="J40" i="27"/>
  <c r="V44" i="27"/>
  <c r="V48" i="27"/>
  <c r="J52" i="27"/>
  <c r="V60" i="27"/>
  <c r="J62" i="27"/>
  <c r="V68" i="27"/>
  <c r="V72" i="27"/>
  <c r="J74" i="27"/>
  <c r="V76" i="27"/>
  <c r="D83" i="27"/>
  <c r="L83" i="27" s="1"/>
  <c r="N83" i="27" s="1"/>
  <c r="J87" i="27"/>
  <c r="L12" i="28"/>
  <c r="F15" i="28"/>
  <c r="D18" i="28"/>
  <c r="R21" i="28"/>
  <c r="F25" i="28"/>
  <c r="F29" i="28"/>
  <c r="F33" i="28"/>
  <c r="F36" i="28"/>
  <c r="J16" i="29"/>
  <c r="J20" i="29"/>
  <c r="V22" i="29"/>
  <c r="J20" i="30"/>
  <c r="V24" i="30"/>
  <c r="J28" i="30"/>
  <c r="V32" i="30"/>
  <c r="J36" i="30"/>
  <c r="J42" i="30"/>
  <c r="J44" i="30"/>
  <c r="V48" i="30"/>
  <c r="J52" i="30"/>
  <c r="J56" i="30"/>
  <c r="V60" i="30"/>
  <c r="V64" i="30"/>
  <c r="J66" i="30"/>
  <c r="V72" i="30"/>
  <c r="J74" i="30"/>
  <c r="J80" i="30"/>
  <c r="V84" i="30"/>
  <c r="J86" i="30"/>
  <c r="J92" i="30"/>
  <c r="J96" i="30"/>
  <c r="V100" i="30"/>
  <c r="V104" i="30"/>
  <c r="J108" i="30"/>
  <c r="V112" i="30"/>
  <c r="J114" i="30"/>
  <c r="L120" i="30"/>
  <c r="V124" i="30"/>
  <c r="N12" i="31"/>
  <c r="F18" i="31"/>
  <c r="V18" i="31"/>
  <c r="J22" i="31"/>
  <c r="R24" i="31"/>
  <c r="L12" i="32"/>
  <c r="F15" i="32"/>
  <c r="D18" i="32"/>
  <c r="R21" i="32"/>
  <c r="F25" i="32"/>
  <c r="F29" i="32"/>
  <c r="F33" i="32"/>
  <c r="F36" i="32"/>
  <c r="V47" i="33"/>
  <c r="V50" i="33"/>
  <c r="V60" i="33"/>
  <c r="L64" i="33"/>
  <c r="N64" i="33" s="1"/>
  <c r="J69" i="33"/>
  <c r="L16" i="34"/>
  <c r="P27" i="34"/>
  <c r="F22" i="34"/>
  <c r="F29" i="34"/>
  <c r="J31" i="34"/>
  <c r="J34" i="34"/>
  <c r="X33" i="35"/>
  <c r="N112" i="36"/>
  <c r="V109" i="39"/>
  <c r="V97" i="39"/>
  <c r="V93" i="39"/>
  <c r="V85" i="39"/>
  <c r="V77" i="39"/>
  <c r="V65" i="39"/>
  <c r="V57" i="39"/>
  <c r="V53" i="39"/>
  <c r="V41" i="39"/>
  <c r="V37" i="39"/>
  <c r="V29" i="39"/>
  <c r="V21" i="39"/>
  <c r="V106" i="39"/>
  <c r="V100" i="39"/>
  <c r="V96" i="39"/>
  <c r="V92" i="39"/>
  <c r="V64" i="39"/>
  <c r="V56" i="39"/>
  <c r="V48" i="39"/>
  <c r="V40" i="39"/>
  <c r="V36" i="39"/>
  <c r="V28" i="39"/>
  <c r="V20" i="39"/>
  <c r="V99" i="39"/>
  <c r="V91" i="39"/>
  <c r="V67" i="39"/>
  <c r="V59" i="39"/>
  <c r="V55" i="39"/>
  <c r="V47" i="39"/>
  <c r="V39" i="39"/>
  <c r="V35" i="39"/>
  <c r="V25" i="39"/>
  <c r="V108" i="39"/>
  <c r="V102" i="39"/>
  <c r="V90" i="39"/>
  <c r="V82" i="39"/>
  <c r="V66" i="39"/>
  <c r="V58" i="39"/>
  <c r="V50" i="39"/>
  <c r="V46" i="39"/>
  <c r="V38" i="39"/>
  <c r="V34" i="39"/>
  <c r="T25" i="39"/>
  <c r="V113" i="39"/>
  <c r="V101" i="39"/>
  <c r="V89" i="39"/>
  <c r="V81" i="39"/>
  <c r="V73" i="39"/>
  <c r="V69" i="39"/>
  <c r="V61" i="39"/>
  <c r="V49" i="39"/>
  <c r="V45" i="39"/>
  <c r="V33" i="39"/>
  <c r="V104" i="39"/>
  <c r="V88" i="39"/>
  <c r="V84" i="39"/>
  <c r="V80" i="39"/>
  <c r="V76" i="39"/>
  <c r="V72" i="39"/>
  <c r="V68" i="39"/>
  <c r="V60" i="39"/>
  <c r="V52" i="39"/>
  <c r="V44" i="39"/>
  <c r="V32" i="39"/>
  <c r="V107" i="39"/>
  <c r="V103" i="39"/>
  <c r="V95" i="39"/>
  <c r="V87" i="39"/>
  <c r="V83" i="39"/>
  <c r="V79" i="39"/>
  <c r="V75" i="39"/>
  <c r="V71" i="39"/>
  <c r="V63" i="39"/>
  <c r="V51" i="39"/>
  <c r="V43" i="39"/>
  <c r="V31" i="39"/>
  <c r="V27" i="39"/>
  <c r="V23" i="39"/>
  <c r="V54" i="39"/>
  <c r="X54" i="42"/>
  <c r="Z54" i="42" s="1"/>
  <c r="V27" i="26"/>
  <c r="V31" i="26"/>
  <c r="V34" i="26"/>
  <c r="J19" i="27"/>
  <c r="J25" i="27"/>
  <c r="V29" i="27"/>
  <c r="V33" i="27"/>
  <c r="V37" i="27"/>
  <c r="J41" i="27"/>
  <c r="V49" i="27"/>
  <c r="J53" i="27"/>
  <c r="J57" i="27"/>
  <c r="V61" i="27"/>
  <c r="J65" i="27"/>
  <c r="V69" i="27"/>
  <c r="V73" i="27"/>
  <c r="J81" i="27"/>
  <c r="V83" i="27"/>
  <c r="V89" i="27"/>
  <c r="V91" i="27"/>
  <c r="F18" i="28"/>
  <c r="V15" i="29"/>
  <c r="T18" i="29"/>
  <c r="V25" i="29"/>
  <c r="V29" i="29"/>
  <c r="V33" i="29"/>
  <c r="V36" i="29"/>
  <c r="V25" i="30"/>
  <c r="V33" i="30"/>
  <c r="J37" i="30"/>
  <c r="T40" i="30"/>
  <c r="J45" i="30"/>
  <c r="V49" i="30"/>
  <c r="V53" i="30"/>
  <c r="J57" i="30"/>
  <c r="V61" i="30"/>
  <c r="V65" i="30"/>
  <c r="J69" i="30"/>
  <c r="V73" i="30"/>
  <c r="J77" i="30"/>
  <c r="J81" i="30"/>
  <c r="V85" i="30"/>
  <c r="J89" i="30"/>
  <c r="V93" i="30"/>
  <c r="V97" i="30"/>
  <c r="V101" i="30"/>
  <c r="J103" i="30"/>
  <c r="V105" i="30"/>
  <c r="V109" i="30"/>
  <c r="J111" i="30"/>
  <c r="V113" i="30"/>
  <c r="J118" i="30"/>
  <c r="V119" i="30"/>
  <c r="J15" i="31"/>
  <c r="H18" i="31"/>
  <c r="F21" i="31"/>
  <c r="V21" i="31"/>
  <c r="J25" i="31"/>
  <c r="R27" i="31"/>
  <c r="J29" i="31"/>
  <c r="R31" i="31"/>
  <c r="J33" i="31"/>
  <c r="R34" i="31"/>
  <c r="J36" i="31"/>
  <c r="F18" i="32"/>
  <c r="R24" i="32"/>
  <c r="V26" i="33"/>
  <c r="V49" i="33"/>
  <c r="V52" i="33"/>
  <c r="V56" i="33"/>
  <c r="V59" i="33"/>
  <c r="V63" i="33"/>
  <c r="V68" i="33"/>
  <c r="J79" i="33"/>
  <c r="J24" i="34"/>
  <c r="F25" i="34"/>
  <c r="J27" i="34"/>
  <c r="F36" i="34"/>
  <c r="J21" i="36"/>
  <c r="J30" i="36"/>
  <c r="Z81" i="36"/>
  <c r="Z112" i="36"/>
  <c r="F70" i="39"/>
  <c r="V94" i="39"/>
  <c r="X13" i="26"/>
  <c r="V22" i="27"/>
  <c r="J26" i="27"/>
  <c r="V38" i="27"/>
  <c r="J42" i="27"/>
  <c r="J46" i="27"/>
  <c r="V50" i="27"/>
  <c r="J54" i="27"/>
  <c r="V58" i="27"/>
  <c r="J60" i="27"/>
  <c r="V66" i="27"/>
  <c r="J68" i="27"/>
  <c r="V70" i="27"/>
  <c r="J72" i="27"/>
  <c r="J78" i="27"/>
  <c r="J85" i="27"/>
  <c r="V86" i="27"/>
  <c r="F21" i="28"/>
  <c r="R27" i="28"/>
  <c r="R31" i="28"/>
  <c r="R34" i="28"/>
  <c r="L13" i="29"/>
  <c r="V18" i="29"/>
  <c r="J22" i="29"/>
  <c r="V26" i="30"/>
  <c r="J30" i="30"/>
  <c r="V34" i="30"/>
  <c r="J38" i="30"/>
  <c r="V40" i="30"/>
  <c r="J46" i="30"/>
  <c r="V50" i="30"/>
  <c r="V54" i="30"/>
  <c r="J58" i="30"/>
  <c r="V62" i="30"/>
  <c r="J64" i="30"/>
  <c r="V70" i="30"/>
  <c r="J72" i="30"/>
  <c r="J78" i="30"/>
  <c r="V82" i="30"/>
  <c r="J84" i="30"/>
  <c r="V90" i="30"/>
  <c r="V94" i="30"/>
  <c r="V98" i="30"/>
  <c r="J100" i="30"/>
  <c r="V102" i="30"/>
  <c r="V106" i="30"/>
  <c r="V110" i="30"/>
  <c r="R16" i="31"/>
  <c r="J18" i="31"/>
  <c r="R20" i="31"/>
  <c r="F24" i="31"/>
  <c r="V24" i="31"/>
  <c r="H18" i="32"/>
  <c r="F21" i="32"/>
  <c r="R27" i="32"/>
  <c r="R31" i="32"/>
  <c r="R34" i="32"/>
  <c r="P12" i="33"/>
  <c r="V19" i="33"/>
  <c r="J23" i="33"/>
  <c r="L47" i="33"/>
  <c r="N47" i="33" s="1"/>
  <c r="V58" i="33"/>
  <c r="V62" i="33"/>
  <c r="V67" i="33"/>
  <c r="J77" i="33"/>
  <c r="T27" i="34"/>
  <c r="Z18" i="34"/>
  <c r="X33" i="34"/>
  <c r="F20" i="35"/>
  <c r="F24" i="35"/>
  <c r="F21" i="35"/>
  <c r="F18" i="35"/>
  <c r="F36" i="35"/>
  <c r="F33" i="35"/>
  <c r="F29" i="35"/>
  <c r="F25" i="35"/>
  <c r="D18" i="35"/>
  <c r="F15" i="35"/>
  <c r="L12" i="35"/>
  <c r="X15" i="35"/>
  <c r="X22" i="35"/>
  <c r="X25" i="35"/>
  <c r="L24" i="37"/>
  <c r="F102" i="39"/>
  <c r="F90" i="39"/>
  <c r="F85" i="39"/>
  <c r="F82" i="39"/>
  <c r="F77" i="39"/>
  <c r="F53" i="39"/>
  <c r="F50" i="39"/>
  <c r="F46" i="39"/>
  <c r="F34" i="39"/>
  <c r="F113" i="39"/>
  <c r="F108" i="39"/>
  <c r="F106" i="39"/>
  <c r="F96" i="39"/>
  <c r="F89" i="39"/>
  <c r="F81" i="39"/>
  <c r="F73" i="39"/>
  <c r="F69" i="39"/>
  <c r="F64" i="39"/>
  <c r="F61" i="39"/>
  <c r="F45" i="39"/>
  <c r="F33" i="39"/>
  <c r="F28" i="39"/>
  <c r="F20" i="39"/>
  <c r="F104" i="39"/>
  <c r="F99" i="39"/>
  <c r="F88" i="39"/>
  <c r="F84" i="39"/>
  <c r="F80" i="39"/>
  <c r="F76" i="39"/>
  <c r="F72" i="39"/>
  <c r="F55" i="39"/>
  <c r="F52" i="39"/>
  <c r="F44" i="39"/>
  <c r="F32" i="39"/>
  <c r="L12" i="39"/>
  <c r="N12" i="39" s="1"/>
  <c r="F95" i="39"/>
  <c r="F87" i="39"/>
  <c r="F79" i="39"/>
  <c r="F75" i="39"/>
  <c r="F71" i="39"/>
  <c r="F66" i="39"/>
  <c r="F63" i="39"/>
  <c r="F58" i="39"/>
  <c r="F43" i="39"/>
  <c r="F38" i="39"/>
  <c r="F31" i="39"/>
  <c r="D25" i="39"/>
  <c r="F25" i="39" s="1"/>
  <c r="F23" i="39"/>
  <c r="F107" i="39"/>
  <c r="F101" i="39"/>
  <c r="F98" i="39"/>
  <c r="F94" i="39"/>
  <c r="F86" i="39"/>
  <c r="F78" i="39"/>
  <c r="F54" i="39"/>
  <c r="F49" i="39"/>
  <c r="F42" i="39"/>
  <c r="F30" i="39"/>
  <c r="F22" i="39"/>
  <c r="F97" i="39"/>
  <c r="F93" i="39"/>
  <c r="F68" i="39"/>
  <c r="F65" i="39"/>
  <c r="F60" i="39"/>
  <c r="F57" i="39"/>
  <c r="F41" i="39"/>
  <c r="F37" i="39"/>
  <c r="F29" i="39"/>
  <c r="F21" i="39"/>
  <c r="F109" i="39"/>
  <c r="F103" i="39"/>
  <c r="F100" i="39"/>
  <c r="F92" i="39"/>
  <c r="F83" i="39"/>
  <c r="F56" i="39"/>
  <c r="F51" i="39"/>
  <c r="F48" i="39"/>
  <c r="F40" i="39"/>
  <c r="F36" i="39"/>
  <c r="F27" i="39"/>
  <c r="Z51" i="39"/>
  <c r="N53" i="39"/>
  <c r="Z62" i="39"/>
  <c r="V78" i="39"/>
  <c r="V86" i="39"/>
  <c r="F91" i="39"/>
  <c r="N96" i="39"/>
  <c r="H115" i="42"/>
  <c r="N63" i="42"/>
  <c r="J16" i="25"/>
  <c r="R15" i="26"/>
  <c r="P18" i="26"/>
  <c r="R25" i="26"/>
  <c r="R29" i="26"/>
  <c r="R33" i="26"/>
  <c r="V23" i="27"/>
  <c r="J27" i="27"/>
  <c r="J33" i="27"/>
  <c r="J35" i="27"/>
  <c r="V39" i="27"/>
  <c r="J43" i="27"/>
  <c r="J47" i="27"/>
  <c r="V51" i="27"/>
  <c r="J55" i="27"/>
  <c r="V59" i="27"/>
  <c r="J63" i="27"/>
  <c r="V67" i="27"/>
  <c r="J75" i="27"/>
  <c r="J79" i="27"/>
  <c r="J83" i="27"/>
  <c r="R16" i="28"/>
  <c r="Z18" i="28"/>
  <c r="J15" i="29"/>
  <c r="H18" i="29"/>
  <c r="J25" i="29"/>
  <c r="R27" i="29"/>
  <c r="J29" i="29"/>
  <c r="R31" i="29"/>
  <c r="J33" i="29"/>
  <c r="P12" i="30"/>
  <c r="V19" i="30"/>
  <c r="J23" i="30"/>
  <c r="V27" i="30"/>
  <c r="J31" i="30"/>
  <c r="V35" i="30"/>
  <c r="H40" i="30"/>
  <c r="V43" i="30"/>
  <c r="J47" i="30"/>
  <c r="V51" i="30"/>
  <c r="J53" i="30"/>
  <c r="V55" i="30"/>
  <c r="J59" i="30"/>
  <c r="V63" i="30"/>
  <c r="J67" i="30"/>
  <c r="V71" i="30"/>
  <c r="J75" i="30"/>
  <c r="V79" i="30"/>
  <c r="V83" i="30"/>
  <c r="J87" i="30"/>
  <c r="V91" i="30"/>
  <c r="J93" i="30"/>
  <c r="V95" i="30"/>
  <c r="J97" i="30"/>
  <c r="V99" i="30"/>
  <c r="V107" i="30"/>
  <c r="J109" i="30"/>
  <c r="F27" i="31"/>
  <c r="V27" i="31"/>
  <c r="F31" i="31"/>
  <c r="V31" i="31"/>
  <c r="R16" i="32"/>
  <c r="Z18" i="32"/>
  <c r="V55" i="33"/>
  <c r="V51" i="33"/>
  <c r="V72" i="33"/>
  <c r="V54" i="33"/>
  <c r="V46" i="33"/>
  <c r="V77" i="33"/>
  <c r="V61" i="33"/>
  <c r="V57" i="33"/>
  <c r="V53" i="33"/>
  <c r="V20" i="33"/>
  <c r="J26" i="33"/>
  <c r="V28" i="33"/>
  <c r="J32" i="33"/>
  <c r="V40" i="33"/>
  <c r="J44" i="33"/>
  <c r="J45" i="33"/>
  <c r="J48" i="33"/>
  <c r="Z53" i="33"/>
  <c r="L58" i="33"/>
  <c r="N58" i="33" s="1"/>
  <c r="L62" i="33"/>
  <c r="V66" i="33"/>
  <c r="V70" i="33"/>
  <c r="X29" i="34"/>
  <c r="J24" i="35"/>
  <c r="J18" i="35"/>
  <c r="J36" i="35"/>
  <c r="J33" i="35"/>
  <c r="J29" i="35"/>
  <c r="J25" i="35"/>
  <c r="H18" i="35"/>
  <c r="J15" i="35"/>
  <c r="J22" i="35"/>
  <c r="N12" i="35"/>
  <c r="L20" i="35"/>
  <c r="J38" i="36"/>
  <c r="Z39" i="36"/>
  <c r="X59" i="36"/>
  <c r="Z59" i="36" s="1"/>
  <c r="L61" i="36"/>
  <c r="N61" i="36" s="1"/>
  <c r="X67" i="36"/>
  <c r="Z67" i="36" s="1"/>
  <c r="L69" i="36"/>
  <c r="N69" i="36" s="1"/>
  <c r="J74" i="36"/>
  <c r="Z75" i="36"/>
  <c r="J110" i="36"/>
  <c r="V21" i="38"/>
  <c r="V18" i="38"/>
  <c r="V36" i="38"/>
  <c r="V33" i="38"/>
  <c r="V29" i="38"/>
  <c r="V25" i="38"/>
  <c r="T18" i="38"/>
  <c r="V15" i="38"/>
  <c r="V22" i="38"/>
  <c r="V20" i="38"/>
  <c r="V16" i="38"/>
  <c r="Z12" i="38"/>
  <c r="V34" i="38"/>
  <c r="V31" i="38"/>
  <c r="V27" i="38"/>
  <c r="L21" i="38"/>
  <c r="J25" i="39"/>
  <c r="H111" i="39"/>
  <c r="V30" i="39"/>
  <c r="V62" i="39"/>
  <c r="L77" i="39"/>
  <c r="N77" i="39" s="1"/>
  <c r="X83" i="39"/>
  <c r="L85" i="39"/>
  <c r="N85" i="39" s="1"/>
  <c r="X22" i="40"/>
  <c r="V18" i="34"/>
  <c r="R24" i="34"/>
  <c r="V15" i="35"/>
  <c r="T18" i="35"/>
  <c r="R21" i="35"/>
  <c r="V25" i="35"/>
  <c r="V29" i="35"/>
  <c r="V33" i="35"/>
  <c r="V36" i="35"/>
  <c r="V25" i="36"/>
  <c r="V35" i="36"/>
  <c r="V39" i="36"/>
  <c r="V47" i="36"/>
  <c r="V51" i="36"/>
  <c r="V59" i="36"/>
  <c r="V67" i="36"/>
  <c r="V75" i="36"/>
  <c r="V79" i="36"/>
  <c r="V83" i="36"/>
  <c r="V87" i="36"/>
  <c r="V91" i="36"/>
  <c r="V99" i="36"/>
  <c r="V103" i="36"/>
  <c r="V115" i="36"/>
  <c r="Z12" i="37"/>
  <c r="F16" i="37"/>
  <c r="V16" i="37"/>
  <c r="F20" i="37"/>
  <c r="V20" i="37"/>
  <c r="R22" i="37"/>
  <c r="J24" i="37"/>
  <c r="X12" i="38"/>
  <c r="J21" i="38"/>
  <c r="F27" i="38"/>
  <c r="F31" i="38"/>
  <c r="X12" i="39"/>
  <c r="Z12" i="39" s="1"/>
  <c r="R32" i="39"/>
  <c r="J35" i="39"/>
  <c r="J39" i="39"/>
  <c r="R44" i="39"/>
  <c r="J47" i="39"/>
  <c r="R49" i="39"/>
  <c r="R52" i="39"/>
  <c r="J53" i="39"/>
  <c r="J59" i="39"/>
  <c r="J67" i="39"/>
  <c r="R72" i="39"/>
  <c r="R76" i="39"/>
  <c r="J77" i="39"/>
  <c r="R80" i="39"/>
  <c r="R84" i="39"/>
  <c r="J85" i="39"/>
  <c r="R88" i="39"/>
  <c r="J91" i="39"/>
  <c r="R101" i="39"/>
  <c r="R104" i="39"/>
  <c r="J16" i="40"/>
  <c r="J20" i="40"/>
  <c r="V22" i="40"/>
  <c r="R15" i="41"/>
  <c r="P18" i="41"/>
  <c r="R25" i="41"/>
  <c r="R29" i="41"/>
  <c r="R33" i="41"/>
  <c r="J34" i="41"/>
  <c r="R36" i="41"/>
  <c r="P24" i="42"/>
  <c r="V31" i="42"/>
  <c r="R32" i="42"/>
  <c r="J35" i="42"/>
  <c r="R37" i="42"/>
  <c r="J39" i="42"/>
  <c r="V43" i="42"/>
  <c r="V44" i="42"/>
  <c r="R45" i="42"/>
  <c r="R46" i="42"/>
  <c r="R47" i="42"/>
  <c r="J48" i="42"/>
  <c r="L52" i="42"/>
  <c r="N52" i="42" s="1"/>
  <c r="V54" i="42"/>
  <c r="R58" i="42"/>
  <c r="J60" i="42"/>
  <c r="V75" i="42"/>
  <c r="J77" i="42"/>
  <c r="R81" i="42"/>
  <c r="J87" i="42"/>
  <c r="V95" i="42"/>
  <c r="X16" i="43"/>
  <c r="Z31" i="43"/>
  <c r="N25" i="45"/>
  <c r="N52" i="45"/>
  <c r="N45" i="51"/>
  <c r="V21" i="34"/>
  <c r="R27" i="34"/>
  <c r="R31" i="34"/>
  <c r="R34" i="34"/>
  <c r="V18" i="35"/>
  <c r="R24" i="35"/>
  <c r="V20" i="36"/>
  <c r="V28" i="36"/>
  <c r="V36" i="36"/>
  <c r="V40" i="36"/>
  <c r="V48" i="36"/>
  <c r="V56" i="36"/>
  <c r="V60" i="36"/>
  <c r="V68" i="36"/>
  <c r="V76" i="36"/>
  <c r="V80" i="36"/>
  <c r="V84" i="36"/>
  <c r="V88" i="36"/>
  <c r="V92" i="36"/>
  <c r="V100" i="36"/>
  <c r="X115" i="36"/>
  <c r="R15" i="37"/>
  <c r="P18" i="37"/>
  <c r="R25" i="37"/>
  <c r="J27" i="37"/>
  <c r="R29" i="37"/>
  <c r="J31" i="37"/>
  <c r="R33" i="37"/>
  <c r="J34" i="37"/>
  <c r="R36" i="37"/>
  <c r="N18" i="38"/>
  <c r="R22" i="38"/>
  <c r="J24" i="38"/>
  <c r="N20" i="39"/>
  <c r="P25" i="39"/>
  <c r="R33" i="39"/>
  <c r="J36" i="39"/>
  <c r="R38" i="39"/>
  <c r="J40" i="39"/>
  <c r="R45" i="39"/>
  <c r="J48" i="39"/>
  <c r="J56" i="39"/>
  <c r="R58" i="39"/>
  <c r="R61" i="39"/>
  <c r="J62" i="39"/>
  <c r="R66" i="39"/>
  <c r="R69" i="39"/>
  <c r="J70" i="39"/>
  <c r="R73" i="39"/>
  <c r="J74" i="39"/>
  <c r="R81" i="39"/>
  <c r="R89" i="39"/>
  <c r="J92" i="39"/>
  <c r="J100" i="39"/>
  <c r="X107" i="39"/>
  <c r="Z107" i="39" s="1"/>
  <c r="J109" i="39"/>
  <c r="R113" i="39"/>
  <c r="V15" i="40"/>
  <c r="T18" i="40"/>
  <c r="R21" i="40"/>
  <c r="V25" i="40"/>
  <c r="V29" i="40"/>
  <c r="V33" i="40"/>
  <c r="V36" i="40"/>
  <c r="J16" i="41"/>
  <c r="R18" i="41"/>
  <c r="F22" i="41"/>
  <c r="V22" i="41"/>
  <c r="J110" i="42"/>
  <c r="J105" i="42"/>
  <c r="J96" i="42"/>
  <c r="J86" i="42"/>
  <c r="J82" i="42"/>
  <c r="J78" i="42"/>
  <c r="J74" i="42"/>
  <c r="J70" i="42"/>
  <c r="J115" i="42"/>
  <c r="J108" i="42"/>
  <c r="J98" i="42"/>
  <c r="J92" i="42"/>
  <c r="J84" i="42"/>
  <c r="J76" i="42"/>
  <c r="J64" i="42"/>
  <c r="J56" i="42"/>
  <c r="J50" i="42"/>
  <c r="J104" i="42"/>
  <c r="J95" i="42"/>
  <c r="J91" i="42"/>
  <c r="J81" i="42"/>
  <c r="J73" i="42"/>
  <c r="J69" i="42"/>
  <c r="J61" i="42"/>
  <c r="J55" i="42"/>
  <c r="J100" i="42"/>
  <c r="J94" i="42"/>
  <c r="J90" i="42"/>
  <c r="J66" i="42"/>
  <c r="J58" i="42"/>
  <c r="J52" i="42"/>
  <c r="J46" i="42"/>
  <c r="J106" i="42"/>
  <c r="J97" i="42"/>
  <c r="J89" i="42"/>
  <c r="J83" i="42"/>
  <c r="J75" i="42"/>
  <c r="J63" i="42"/>
  <c r="J112" i="42"/>
  <c r="J88" i="42"/>
  <c r="J80" i="42"/>
  <c r="J72" i="42"/>
  <c r="J68" i="42"/>
  <c r="J20" i="42"/>
  <c r="R24" i="42"/>
  <c r="J26" i="42"/>
  <c r="J28" i="42"/>
  <c r="V32" i="42"/>
  <c r="R33" i="42"/>
  <c r="J36" i="42"/>
  <c r="J40" i="42"/>
  <c r="V45" i="42"/>
  <c r="V46" i="42"/>
  <c r="V47" i="42"/>
  <c r="J53" i="42"/>
  <c r="V57" i="42"/>
  <c r="V58" i="42"/>
  <c r="X61" i="42"/>
  <c r="R63" i="42"/>
  <c r="V65" i="42"/>
  <c r="R73" i="42"/>
  <c r="Z81" i="42"/>
  <c r="N83" i="42"/>
  <c r="R90" i="42"/>
  <c r="J93" i="42"/>
  <c r="Z100" i="42"/>
  <c r="Z50" i="45"/>
  <c r="Z66" i="45"/>
  <c r="N19" i="48"/>
  <c r="N72" i="48"/>
  <c r="R16" i="34"/>
  <c r="V21" i="35"/>
  <c r="R27" i="35"/>
  <c r="R31" i="35"/>
  <c r="P12" i="36"/>
  <c r="V21" i="36"/>
  <c r="V29" i="36"/>
  <c r="V37" i="36"/>
  <c r="V41" i="36"/>
  <c r="V49" i="36"/>
  <c r="V57" i="36"/>
  <c r="V65" i="36"/>
  <c r="V73" i="36"/>
  <c r="V77" i="36"/>
  <c r="V85" i="36"/>
  <c r="V89" i="36"/>
  <c r="V93" i="36"/>
  <c r="V109" i="36"/>
  <c r="V113" i="36"/>
  <c r="J16" i="37"/>
  <c r="R18" i="37"/>
  <c r="F22" i="37"/>
  <c r="V22" i="37"/>
  <c r="R15" i="38"/>
  <c r="P18" i="38"/>
  <c r="R25" i="38"/>
  <c r="J27" i="38"/>
  <c r="R29" i="38"/>
  <c r="J31" i="38"/>
  <c r="R33" i="38"/>
  <c r="J34" i="38"/>
  <c r="R36" i="38"/>
  <c r="J21" i="39"/>
  <c r="R25" i="39"/>
  <c r="J27" i="39"/>
  <c r="J29" i="39"/>
  <c r="R34" i="39"/>
  <c r="J37" i="39"/>
  <c r="J41" i="39"/>
  <c r="R46" i="39"/>
  <c r="R50" i="39"/>
  <c r="J51" i="39"/>
  <c r="R55" i="39"/>
  <c r="J57" i="39"/>
  <c r="J65" i="39"/>
  <c r="R82" i="39"/>
  <c r="J83" i="39"/>
  <c r="R90" i="39"/>
  <c r="J93" i="39"/>
  <c r="J97" i="39"/>
  <c r="R99" i="39"/>
  <c r="R102" i="39"/>
  <c r="J103" i="39"/>
  <c r="R108" i="39"/>
  <c r="N12" i="40"/>
  <c r="V18" i="40"/>
  <c r="J22" i="40"/>
  <c r="R24" i="40"/>
  <c r="L12" i="41"/>
  <c r="F15" i="41"/>
  <c r="V15" i="41"/>
  <c r="D18" i="41"/>
  <c r="T18" i="41"/>
  <c r="R21" i="41"/>
  <c r="F25" i="41"/>
  <c r="V25" i="41"/>
  <c r="F29" i="41"/>
  <c r="V29" i="41"/>
  <c r="F33" i="41"/>
  <c r="V33" i="41"/>
  <c r="F36" i="41"/>
  <c r="V36" i="41"/>
  <c r="R19" i="42"/>
  <c r="J21" i="42"/>
  <c r="T24" i="42"/>
  <c r="R27" i="42"/>
  <c r="J29" i="42"/>
  <c r="V33" i="42"/>
  <c r="R34" i="42"/>
  <c r="V37" i="42"/>
  <c r="R38" i="42"/>
  <c r="J41" i="42"/>
  <c r="J49" i="42"/>
  <c r="J51" i="42"/>
  <c r="R61" i="42"/>
  <c r="R62" i="42"/>
  <c r="R69" i="42"/>
  <c r="J79" i="42"/>
  <c r="R84" i="42"/>
  <c r="J103" i="42"/>
  <c r="R104" i="42"/>
  <c r="P27" i="43"/>
  <c r="X20" i="43"/>
  <c r="X15" i="44"/>
  <c r="P18" i="44"/>
  <c r="Z25" i="45"/>
  <c r="N72" i="45"/>
  <c r="Z53" i="48"/>
  <c r="N55" i="48"/>
  <c r="Z62" i="51"/>
  <c r="V22" i="36"/>
  <c r="V30" i="36"/>
  <c r="V38" i="36"/>
  <c r="V42" i="36"/>
  <c r="V54" i="36"/>
  <c r="V58" i="36"/>
  <c r="V66" i="36"/>
  <c r="V74" i="36"/>
  <c r="V78" i="36"/>
  <c r="V86" i="36"/>
  <c r="V94" i="36"/>
  <c r="V106" i="36"/>
  <c r="V110" i="36"/>
  <c r="L12" i="37"/>
  <c r="F15" i="37"/>
  <c r="V15" i="37"/>
  <c r="D18" i="37"/>
  <c r="T18" i="37"/>
  <c r="R21" i="37"/>
  <c r="F25" i="37"/>
  <c r="V25" i="37"/>
  <c r="F29" i="37"/>
  <c r="V29" i="37"/>
  <c r="F33" i="37"/>
  <c r="V33" i="37"/>
  <c r="V36" i="37"/>
  <c r="J16" i="38"/>
  <c r="R18" i="38"/>
  <c r="R20" i="39"/>
  <c r="J22" i="39"/>
  <c r="R28" i="39"/>
  <c r="J30" i="39"/>
  <c r="R35" i="39"/>
  <c r="R39" i="39"/>
  <c r="J42" i="39"/>
  <c r="R47" i="39"/>
  <c r="J54" i="39"/>
  <c r="R59" i="39"/>
  <c r="J60" i="39"/>
  <c r="R64" i="39"/>
  <c r="R67" i="39"/>
  <c r="J68" i="39"/>
  <c r="J78" i="39"/>
  <c r="J86" i="39"/>
  <c r="R91" i="39"/>
  <c r="J94" i="39"/>
  <c r="R96" i="39"/>
  <c r="J98" i="39"/>
  <c r="R106" i="39"/>
  <c r="J107" i="39"/>
  <c r="J15" i="40"/>
  <c r="H18" i="40"/>
  <c r="V21" i="40"/>
  <c r="J25" i="40"/>
  <c r="R27" i="40"/>
  <c r="J29" i="40"/>
  <c r="R31" i="40"/>
  <c r="J33" i="40"/>
  <c r="J36" i="40"/>
  <c r="F18" i="41"/>
  <c r="V18" i="41"/>
  <c r="R24" i="41"/>
  <c r="V24" i="42"/>
  <c r="J30" i="42"/>
  <c r="V34" i="42"/>
  <c r="R35" i="42"/>
  <c r="V38" i="42"/>
  <c r="R39" i="42"/>
  <c r="J42" i="42"/>
  <c r="N54" i="42"/>
  <c r="R59" i="42"/>
  <c r="Z61" i="42"/>
  <c r="V63" i="42"/>
  <c r="J67" i="42"/>
  <c r="J71" i="42"/>
  <c r="R83" i="42"/>
  <c r="R92" i="42"/>
  <c r="J101" i="42"/>
  <c r="L16" i="43"/>
  <c r="V71" i="36"/>
  <c r="V95" i="36"/>
  <c r="V107" i="36"/>
  <c r="V117" i="36"/>
  <c r="V119" i="36"/>
  <c r="V18" i="37"/>
  <c r="R21" i="38"/>
  <c r="R36" i="39"/>
  <c r="R40" i="39"/>
  <c r="R48" i="39"/>
  <c r="R53" i="39"/>
  <c r="R56" i="39"/>
  <c r="R77" i="39"/>
  <c r="R85" i="39"/>
  <c r="R92" i="39"/>
  <c r="J95" i="39"/>
  <c r="R100" i="39"/>
  <c r="J101" i="39"/>
  <c r="V24" i="40"/>
  <c r="R27" i="41"/>
  <c r="R31" i="41"/>
  <c r="R34" i="41"/>
  <c r="R100" i="42"/>
  <c r="R95" i="42"/>
  <c r="R91" i="42"/>
  <c r="R97" i="42"/>
  <c r="R89" i="42"/>
  <c r="R54" i="42"/>
  <c r="R49" i="42"/>
  <c r="R103" i="42"/>
  <c r="R93" i="42"/>
  <c r="R88" i="42"/>
  <c r="R80" i="42"/>
  <c r="R72" i="42"/>
  <c r="R68" i="42"/>
  <c r="R65" i="42"/>
  <c r="R60" i="42"/>
  <c r="R57" i="42"/>
  <c r="R105" i="42"/>
  <c r="R99" i="42"/>
  <c r="R96" i="42"/>
  <c r="R87" i="42"/>
  <c r="R79" i="42"/>
  <c r="R71" i="42"/>
  <c r="R51" i="42"/>
  <c r="R48" i="42"/>
  <c r="R110" i="42"/>
  <c r="R86" i="42"/>
  <c r="R82" i="42"/>
  <c r="R78" i="42"/>
  <c r="R74" i="42"/>
  <c r="R70" i="42"/>
  <c r="R67" i="42"/>
  <c r="R101" i="42"/>
  <c r="R98" i="42"/>
  <c r="R85" i="42"/>
  <c r="R77" i="42"/>
  <c r="R20" i="42"/>
  <c r="R28" i="42"/>
  <c r="R36" i="42"/>
  <c r="R40" i="42"/>
  <c r="R52" i="42"/>
  <c r="R53" i="42"/>
  <c r="V61" i="42"/>
  <c r="V89" i="42"/>
  <c r="R81" i="45"/>
  <c r="R73" i="45"/>
  <c r="R69" i="45"/>
  <c r="R66" i="45"/>
  <c r="R61" i="45"/>
  <c r="R58" i="45"/>
  <c r="R53" i="45"/>
  <c r="R50" i="45"/>
  <c r="R41" i="45"/>
  <c r="R29" i="45"/>
  <c r="R21" i="45"/>
  <c r="R93" i="45"/>
  <c r="R80" i="45"/>
  <c r="R77" i="45"/>
  <c r="R40" i="45"/>
  <c r="R36" i="45"/>
  <c r="R28" i="45"/>
  <c r="R25" i="45"/>
  <c r="R20" i="45"/>
  <c r="X12" i="45"/>
  <c r="Z12" i="45" s="1"/>
  <c r="R87" i="45"/>
  <c r="R72" i="45"/>
  <c r="R68" i="45"/>
  <c r="R63" i="45"/>
  <c r="R60" i="45"/>
  <c r="R55" i="45"/>
  <c r="R52" i="45"/>
  <c r="R47" i="45"/>
  <c r="R39" i="45"/>
  <c r="R35" i="45"/>
  <c r="R27" i="45"/>
  <c r="R19" i="45"/>
  <c r="R97" i="45"/>
  <c r="R90" i="45"/>
  <c r="R86" i="45"/>
  <c r="R79" i="45"/>
  <c r="R46" i="45"/>
  <c r="R38" i="45"/>
  <c r="R34" i="45"/>
  <c r="R89" i="45"/>
  <c r="R85" i="45"/>
  <c r="R65" i="45"/>
  <c r="R62" i="45"/>
  <c r="R57" i="45"/>
  <c r="R54" i="45"/>
  <c r="R49" i="45"/>
  <c r="R45" i="45"/>
  <c r="R33" i="45"/>
  <c r="R26" i="45"/>
  <c r="R18" i="45"/>
  <c r="R92" i="45"/>
  <c r="R84" i="45"/>
  <c r="R76" i="45"/>
  <c r="R44" i="45"/>
  <c r="R37" i="45"/>
  <c r="R32" i="45"/>
  <c r="R101" i="45"/>
  <c r="R95" i="45"/>
  <c r="R88" i="45"/>
  <c r="R83" i="45"/>
  <c r="R75" i="45"/>
  <c r="R71" i="45"/>
  <c r="R67" i="45"/>
  <c r="R64" i="45"/>
  <c r="R59" i="45"/>
  <c r="R56" i="45"/>
  <c r="R51" i="45"/>
  <c r="R48" i="45"/>
  <c r="R43" i="45"/>
  <c r="R31" i="45"/>
  <c r="P23" i="45"/>
  <c r="R94" i="45"/>
  <c r="R91" i="45"/>
  <c r="R82" i="45"/>
  <c r="R78" i="45"/>
  <c r="R74" i="45"/>
  <c r="R70" i="45"/>
  <c r="R42" i="45"/>
  <c r="R30" i="45"/>
  <c r="V32" i="36"/>
  <c r="V44" i="36"/>
  <c r="V52" i="36"/>
  <c r="V64" i="36"/>
  <c r="V72" i="36"/>
  <c r="V96" i="36"/>
  <c r="V104" i="36"/>
  <c r="V108" i="36"/>
  <c r="V114" i="36"/>
  <c r="V21" i="37"/>
  <c r="R27" i="37"/>
  <c r="R31" i="37"/>
  <c r="L13" i="38"/>
  <c r="R24" i="38"/>
  <c r="R21" i="39"/>
  <c r="R29" i="39"/>
  <c r="J32" i="39"/>
  <c r="R37" i="39"/>
  <c r="J38" i="39"/>
  <c r="R41" i="39"/>
  <c r="J44" i="39"/>
  <c r="J52" i="39"/>
  <c r="R57" i="39"/>
  <c r="J58" i="39"/>
  <c r="R62" i="39"/>
  <c r="R65" i="39"/>
  <c r="J66" i="39"/>
  <c r="R70" i="39"/>
  <c r="J72" i="39"/>
  <c r="R74" i="39"/>
  <c r="J76" i="39"/>
  <c r="J80" i="39"/>
  <c r="J84" i="39"/>
  <c r="J88" i="39"/>
  <c r="R93" i="39"/>
  <c r="R97" i="39"/>
  <c r="J104" i="39"/>
  <c r="R109" i="39"/>
  <c r="X12" i="40"/>
  <c r="V27" i="40"/>
  <c r="V31" i="40"/>
  <c r="V34" i="40"/>
  <c r="R16" i="41"/>
  <c r="V106" i="42"/>
  <c r="V94" i="42"/>
  <c r="V90" i="42"/>
  <c r="V66" i="42"/>
  <c r="V96" i="42"/>
  <c r="V88" i="42"/>
  <c r="V80" i="42"/>
  <c r="V72" i="42"/>
  <c r="V68" i="42"/>
  <c r="V60" i="42"/>
  <c r="V105" i="42"/>
  <c r="V99" i="42"/>
  <c r="V87" i="42"/>
  <c r="V79" i="42"/>
  <c r="V71" i="42"/>
  <c r="V67" i="42"/>
  <c r="V59" i="42"/>
  <c r="V51" i="42"/>
  <c r="V110" i="42"/>
  <c r="V98" i="42"/>
  <c r="V86" i="42"/>
  <c r="V82" i="42"/>
  <c r="V78" i="42"/>
  <c r="V74" i="42"/>
  <c r="V70" i="42"/>
  <c r="V62" i="42"/>
  <c r="V50" i="42"/>
  <c r="V101" i="42"/>
  <c r="V85" i="42"/>
  <c r="V81" i="42"/>
  <c r="V77" i="42"/>
  <c r="V73" i="42"/>
  <c r="V69" i="42"/>
  <c r="V104" i="42"/>
  <c r="V100" i="42"/>
  <c r="V92" i="42"/>
  <c r="V84" i="42"/>
  <c r="V76" i="42"/>
  <c r="V64" i="42"/>
  <c r="V20" i="42"/>
  <c r="R21" i="42"/>
  <c r="J24" i="42"/>
  <c r="R26" i="42"/>
  <c r="V28" i="42"/>
  <c r="R29" i="42"/>
  <c r="V36" i="42"/>
  <c r="V40" i="42"/>
  <c r="R41" i="42"/>
  <c r="J44" i="42"/>
  <c r="J45" i="42"/>
  <c r="J47" i="42"/>
  <c r="V48" i="42"/>
  <c r="V49" i="42"/>
  <c r="X50" i="42"/>
  <c r="Z50" i="42" s="1"/>
  <c r="Z52" i="42"/>
  <c r="V53" i="42"/>
  <c r="R56" i="42"/>
  <c r="L63" i="42"/>
  <c r="J65" i="42"/>
  <c r="R76" i="42"/>
  <c r="V83" i="42"/>
  <c r="J85" i="42"/>
  <c r="V97" i="42"/>
  <c r="L20" i="43"/>
  <c r="L24" i="43"/>
  <c r="V34" i="44"/>
  <c r="V31" i="44"/>
  <c r="V27" i="44"/>
  <c r="X12" i="44"/>
  <c r="V24" i="44"/>
  <c r="V21" i="44"/>
  <c r="V18" i="44"/>
  <c r="V36" i="44"/>
  <c r="V33" i="44"/>
  <c r="V29" i="44"/>
  <c r="V25" i="44"/>
  <c r="T18" i="44"/>
  <c r="V15" i="44"/>
  <c r="V22" i="44"/>
  <c r="Z58" i="45"/>
  <c r="Z77" i="45"/>
  <c r="N79" i="45"/>
  <c r="P75" i="48"/>
  <c r="R72" i="48"/>
  <c r="X72" i="48"/>
  <c r="Z72" i="48" s="1"/>
  <c r="T79" i="51"/>
  <c r="V79" i="51" s="1"/>
  <c r="Z33" i="51"/>
  <c r="V81" i="36"/>
  <c r="V97" i="36"/>
  <c r="V101" i="36"/>
  <c r="R27" i="38"/>
  <c r="R31" i="38"/>
  <c r="R22" i="39"/>
  <c r="R27" i="39"/>
  <c r="R30" i="39"/>
  <c r="R42" i="39"/>
  <c r="R51" i="39"/>
  <c r="R54" i="39"/>
  <c r="R78" i="39"/>
  <c r="R83" i="39"/>
  <c r="R86" i="39"/>
  <c r="J89" i="39"/>
  <c r="R94" i="39"/>
  <c r="R98" i="39"/>
  <c r="J99" i="39"/>
  <c r="J108" i="39"/>
  <c r="Z12" i="40"/>
  <c r="V16" i="40"/>
  <c r="R22" i="42"/>
  <c r="R30" i="42"/>
  <c r="V41" i="42"/>
  <c r="R42" i="42"/>
  <c r="R50" i="42"/>
  <c r="V52" i="42"/>
  <c r="R55" i="42"/>
  <c r="V56" i="42"/>
  <c r="R66" i="42"/>
  <c r="R75" i="42"/>
  <c r="V91" i="42"/>
  <c r="V93" i="42"/>
  <c r="H103" i="45"/>
  <c r="J16" i="43"/>
  <c r="J20" i="43"/>
  <c r="R25" i="44"/>
  <c r="J27" i="44"/>
  <c r="R29" i="44"/>
  <c r="J31" i="44"/>
  <c r="R33" i="44"/>
  <c r="J34" i="44"/>
  <c r="R36" i="44"/>
  <c r="D12" i="45"/>
  <c r="V21" i="45"/>
  <c r="V25" i="45"/>
  <c r="V29" i="45"/>
  <c r="J33" i="45"/>
  <c r="V41" i="45"/>
  <c r="J45" i="45"/>
  <c r="J49" i="45"/>
  <c r="V53" i="45"/>
  <c r="J57" i="45"/>
  <c r="V61" i="45"/>
  <c r="J65" i="45"/>
  <c r="V69" i="45"/>
  <c r="V73" i="45"/>
  <c r="V77" i="45"/>
  <c r="J79" i="45"/>
  <c r="V81" i="45"/>
  <c r="J85" i="45"/>
  <c r="J89" i="45"/>
  <c r="V93" i="45"/>
  <c r="J97" i="45"/>
  <c r="J103" i="45"/>
  <c r="J16" i="46"/>
  <c r="J20" i="46"/>
  <c r="F22" i="46"/>
  <c r="P18" i="47"/>
  <c r="R25" i="47"/>
  <c r="J27" i="47"/>
  <c r="R29" i="47"/>
  <c r="J31" i="47"/>
  <c r="R33" i="47"/>
  <c r="J34" i="47"/>
  <c r="R36" i="47"/>
  <c r="D12" i="48"/>
  <c r="V15" i="48"/>
  <c r="V19" i="48"/>
  <c r="V23" i="48"/>
  <c r="R24" i="48"/>
  <c r="J27" i="48"/>
  <c r="N31" i="48"/>
  <c r="V35" i="48"/>
  <c r="R36" i="48"/>
  <c r="J39" i="48"/>
  <c r="J43" i="48"/>
  <c r="V47" i="48"/>
  <c r="N51" i="48"/>
  <c r="R53" i="48"/>
  <c r="V55" i="48"/>
  <c r="R56" i="48"/>
  <c r="J57" i="48"/>
  <c r="Z57" i="48"/>
  <c r="V59" i="48"/>
  <c r="R60" i="48"/>
  <c r="J61" i="48"/>
  <c r="Z61" i="48"/>
  <c r="N63" i="48"/>
  <c r="N67" i="48"/>
  <c r="R69" i="48"/>
  <c r="J75" i="48"/>
  <c r="R16" i="49"/>
  <c r="J18" i="49"/>
  <c r="Z18" i="49"/>
  <c r="R20" i="49"/>
  <c r="N22" i="49"/>
  <c r="F24" i="49"/>
  <c r="V24" i="49"/>
  <c r="D27" i="49"/>
  <c r="J15" i="50"/>
  <c r="H18" i="50"/>
  <c r="F21" i="50"/>
  <c r="V21" i="50"/>
  <c r="J25" i="50"/>
  <c r="R27" i="50"/>
  <c r="J29" i="50"/>
  <c r="R31" i="50"/>
  <c r="J33" i="50"/>
  <c r="R34" i="50"/>
  <c r="J36" i="50"/>
  <c r="P12" i="51"/>
  <c r="V19" i="51"/>
  <c r="J23" i="51"/>
  <c r="V27" i="51"/>
  <c r="J31" i="51"/>
  <c r="V35" i="51"/>
  <c r="J39" i="51"/>
  <c r="V43" i="51"/>
  <c r="J45" i="51"/>
  <c r="Z45" i="51"/>
  <c r="J58" i="51"/>
  <c r="T18" i="52"/>
  <c r="X18" i="52" s="1"/>
  <c r="Z15" i="52"/>
  <c r="J16" i="44"/>
  <c r="J20" i="44"/>
  <c r="V30" i="45"/>
  <c r="J34" i="45"/>
  <c r="J38" i="45"/>
  <c r="V42" i="45"/>
  <c r="J46" i="45"/>
  <c r="V50" i="45"/>
  <c r="J52" i="45"/>
  <c r="V58" i="45"/>
  <c r="J60" i="45"/>
  <c r="V66" i="45"/>
  <c r="J68" i="45"/>
  <c r="V70" i="45"/>
  <c r="J72" i="45"/>
  <c r="V74" i="45"/>
  <c r="V78" i="45"/>
  <c r="V82" i="45"/>
  <c r="J86" i="45"/>
  <c r="J90" i="45"/>
  <c r="V94" i="45"/>
  <c r="L12" i="46"/>
  <c r="F15" i="46"/>
  <c r="D18" i="46"/>
  <c r="F25" i="46"/>
  <c r="F29" i="46"/>
  <c r="F33" i="46"/>
  <c r="F36" i="46"/>
  <c r="J16" i="47"/>
  <c r="J20" i="47"/>
  <c r="V22" i="47"/>
  <c r="X15" i="48"/>
  <c r="V24" i="48"/>
  <c r="J28" i="48"/>
  <c r="J32" i="48"/>
  <c r="V36" i="48"/>
  <c r="R37" i="48"/>
  <c r="J40" i="48"/>
  <c r="R42" i="48"/>
  <c r="V44" i="48"/>
  <c r="R45" i="48"/>
  <c r="J46" i="48"/>
  <c r="J52" i="48"/>
  <c r="V56" i="48"/>
  <c r="V60" i="48"/>
  <c r="J64" i="48"/>
  <c r="J68" i="48"/>
  <c r="J72" i="48"/>
  <c r="R73" i="48"/>
  <c r="X12" i="49"/>
  <c r="V27" i="49"/>
  <c r="F31" i="49"/>
  <c r="V31" i="49"/>
  <c r="F34" i="49"/>
  <c r="V34" i="49"/>
  <c r="J18" i="50"/>
  <c r="V24" i="50"/>
  <c r="V72" i="51"/>
  <c r="V68" i="51"/>
  <c r="V74" i="51"/>
  <c r="V67" i="51"/>
  <c r="V59" i="51"/>
  <c r="V51" i="51"/>
  <c r="V76" i="51"/>
  <c r="V70" i="51"/>
  <c r="V66" i="51"/>
  <c r="V58" i="51"/>
  <c r="V50" i="51"/>
  <c r="V20" i="51"/>
  <c r="J24" i="51"/>
  <c r="V28" i="51"/>
  <c r="J34" i="51"/>
  <c r="V36" i="51"/>
  <c r="J40" i="51"/>
  <c r="V44" i="51"/>
  <c r="J48" i="51"/>
  <c r="V56" i="51"/>
  <c r="J59" i="51"/>
  <c r="V62" i="51"/>
  <c r="J65" i="51"/>
  <c r="J22" i="52"/>
  <c r="D26" i="54"/>
  <c r="L22" i="54"/>
  <c r="N12" i="43"/>
  <c r="V18" i="43"/>
  <c r="J22" i="43"/>
  <c r="R24" i="43"/>
  <c r="L12" i="44"/>
  <c r="F15" i="44"/>
  <c r="D18" i="44"/>
  <c r="R21" i="44"/>
  <c r="F25" i="44"/>
  <c r="F29" i="44"/>
  <c r="F33" i="44"/>
  <c r="F36" i="44"/>
  <c r="X16" i="45"/>
  <c r="J19" i="45"/>
  <c r="J25" i="45"/>
  <c r="J27" i="45"/>
  <c r="V31" i="45"/>
  <c r="J35" i="45"/>
  <c r="J39" i="45"/>
  <c r="V43" i="45"/>
  <c r="J47" i="45"/>
  <c r="V51" i="45"/>
  <c r="J55" i="45"/>
  <c r="V59" i="45"/>
  <c r="J63" i="45"/>
  <c r="V67" i="45"/>
  <c r="V71" i="45"/>
  <c r="V75" i="45"/>
  <c r="J77" i="45"/>
  <c r="V83" i="45"/>
  <c r="J87" i="45"/>
  <c r="V91" i="45"/>
  <c r="J93" i="45"/>
  <c r="V95" i="45"/>
  <c r="V101" i="45"/>
  <c r="N12" i="46"/>
  <c r="F18" i="46"/>
  <c r="V18" i="46"/>
  <c r="J22" i="46"/>
  <c r="R24" i="46"/>
  <c r="L12" i="47"/>
  <c r="F15" i="47"/>
  <c r="V15" i="47"/>
  <c r="L16" i="47"/>
  <c r="D18" i="47"/>
  <c r="T18" i="47"/>
  <c r="L20" i="47"/>
  <c r="R21" i="47"/>
  <c r="X22" i="47"/>
  <c r="F25" i="47"/>
  <c r="V25" i="47"/>
  <c r="F29" i="47"/>
  <c r="V29" i="47"/>
  <c r="F33" i="47"/>
  <c r="V33" i="47"/>
  <c r="F36" i="47"/>
  <c r="V36" i="47"/>
  <c r="J15" i="48"/>
  <c r="R17" i="48"/>
  <c r="J19" i="48"/>
  <c r="J21" i="48"/>
  <c r="V25" i="48"/>
  <c r="R26" i="48"/>
  <c r="J29" i="48"/>
  <c r="R31" i="48"/>
  <c r="J33" i="48"/>
  <c r="V37" i="48"/>
  <c r="R38" i="48"/>
  <c r="J41" i="48"/>
  <c r="X44" i="48"/>
  <c r="Z44" i="48" s="1"/>
  <c r="V45" i="48"/>
  <c r="L46" i="48"/>
  <c r="N46" i="48" s="1"/>
  <c r="J49" i="48"/>
  <c r="R51" i="48"/>
  <c r="V53" i="48"/>
  <c r="R54" i="48"/>
  <c r="J55" i="48"/>
  <c r="R63" i="48"/>
  <c r="J65" i="48"/>
  <c r="R67" i="48"/>
  <c r="V69" i="48"/>
  <c r="R70" i="48"/>
  <c r="L72" i="48"/>
  <c r="V73" i="48"/>
  <c r="J77" i="48"/>
  <c r="Z12" i="49"/>
  <c r="F16" i="49"/>
  <c r="V16" i="49"/>
  <c r="N18" i="49"/>
  <c r="F20" i="49"/>
  <c r="V20" i="49"/>
  <c r="L21" i="49"/>
  <c r="R22" i="49"/>
  <c r="J24" i="49"/>
  <c r="X34" i="49"/>
  <c r="X12" i="50"/>
  <c r="J21" i="50"/>
  <c r="F27" i="50"/>
  <c r="V27" i="50"/>
  <c r="F31" i="50"/>
  <c r="V31" i="50"/>
  <c r="F34" i="50"/>
  <c r="V34" i="50"/>
  <c r="J19" i="51"/>
  <c r="Z19" i="51"/>
  <c r="V21" i="51"/>
  <c r="J25" i="51"/>
  <c r="V29" i="51"/>
  <c r="V33" i="51"/>
  <c r="L34" i="51"/>
  <c r="N34" i="51" s="1"/>
  <c r="V37" i="51"/>
  <c r="J41" i="51"/>
  <c r="J49" i="51"/>
  <c r="J52" i="51"/>
  <c r="J53" i="51"/>
  <c r="V57" i="51"/>
  <c r="J61" i="51"/>
  <c r="X62" i="51"/>
  <c r="J70" i="51"/>
  <c r="N71" i="51"/>
  <c r="V77" i="51"/>
  <c r="J81" i="51"/>
  <c r="X15" i="52"/>
  <c r="P27" i="52"/>
  <c r="X29" i="52"/>
  <c r="L16" i="53"/>
  <c r="N16" i="53"/>
  <c r="P35" i="55"/>
  <c r="D79" i="56"/>
  <c r="Z46" i="56"/>
  <c r="N48" i="56"/>
  <c r="N63" i="56"/>
  <c r="J15" i="43"/>
  <c r="H18" i="43"/>
  <c r="V21" i="43"/>
  <c r="J25" i="43"/>
  <c r="R27" i="43"/>
  <c r="J29" i="43"/>
  <c r="R31" i="43"/>
  <c r="J33" i="43"/>
  <c r="R34" i="43"/>
  <c r="J36" i="43"/>
  <c r="N12" i="44"/>
  <c r="F18" i="44"/>
  <c r="J22" i="44"/>
  <c r="R24" i="44"/>
  <c r="J20" i="45"/>
  <c r="T23" i="45"/>
  <c r="J28" i="45"/>
  <c r="V32" i="45"/>
  <c r="J36" i="45"/>
  <c r="J40" i="45"/>
  <c r="V44" i="45"/>
  <c r="V48" i="45"/>
  <c r="J50" i="45"/>
  <c r="V56" i="45"/>
  <c r="J58" i="45"/>
  <c r="V64" i="45"/>
  <c r="J66" i="45"/>
  <c r="V76" i="45"/>
  <c r="J80" i="45"/>
  <c r="V84" i="45"/>
  <c r="V88" i="45"/>
  <c r="V92" i="45"/>
  <c r="J15" i="46"/>
  <c r="H18" i="46"/>
  <c r="F21" i="46"/>
  <c r="V21" i="46"/>
  <c r="J25" i="46"/>
  <c r="R27" i="46"/>
  <c r="J29" i="46"/>
  <c r="R31" i="46"/>
  <c r="J33" i="46"/>
  <c r="R34" i="46"/>
  <c r="J36" i="46"/>
  <c r="N12" i="47"/>
  <c r="F18" i="47"/>
  <c r="V18" i="47"/>
  <c r="J22" i="47"/>
  <c r="R24" i="47"/>
  <c r="T17" i="48"/>
  <c r="R20" i="48"/>
  <c r="J22" i="48"/>
  <c r="V26" i="48"/>
  <c r="R27" i="48"/>
  <c r="J30" i="48"/>
  <c r="J34" i="48"/>
  <c r="V38" i="48"/>
  <c r="R39" i="48"/>
  <c r="V42" i="48"/>
  <c r="R43" i="48"/>
  <c r="J44" i="48"/>
  <c r="R48" i="48"/>
  <c r="J50" i="48"/>
  <c r="V54" i="48"/>
  <c r="J58" i="48"/>
  <c r="J62" i="48"/>
  <c r="J66" i="48"/>
  <c r="V70" i="48"/>
  <c r="X73" i="48"/>
  <c r="Z73" i="48" s="1"/>
  <c r="R15" i="49"/>
  <c r="P18" i="49"/>
  <c r="R25" i="49"/>
  <c r="J27" i="49"/>
  <c r="R29" i="49"/>
  <c r="J31" i="49"/>
  <c r="R33" i="49"/>
  <c r="J34" i="49"/>
  <c r="R36" i="49"/>
  <c r="Z12" i="50"/>
  <c r="F16" i="50"/>
  <c r="V16" i="50"/>
  <c r="F20" i="50"/>
  <c r="V20" i="50"/>
  <c r="R22" i="50"/>
  <c r="J24" i="50"/>
  <c r="V22" i="51"/>
  <c r="J26" i="51"/>
  <c r="V38" i="51"/>
  <c r="J42" i="51"/>
  <c r="J50" i="51"/>
  <c r="J51" i="51"/>
  <c r="X58" i="51"/>
  <c r="N62" i="51"/>
  <c r="J66" i="51"/>
  <c r="J69" i="51"/>
  <c r="J71" i="51"/>
  <c r="V75" i="51"/>
  <c r="P79" i="56"/>
  <c r="D103" i="42"/>
  <c r="L103" i="42" s="1"/>
  <c r="N103" i="42" s="1"/>
  <c r="R16" i="43"/>
  <c r="J18" i="43"/>
  <c r="R20" i="43"/>
  <c r="J15" i="44"/>
  <c r="H18" i="44"/>
  <c r="F21" i="44"/>
  <c r="J25" i="44"/>
  <c r="R27" i="44"/>
  <c r="J29" i="44"/>
  <c r="R31" i="44"/>
  <c r="J33" i="44"/>
  <c r="J36" i="44"/>
  <c r="J21" i="45"/>
  <c r="J29" i="45"/>
  <c r="V33" i="45"/>
  <c r="V37" i="45"/>
  <c r="J41" i="45"/>
  <c r="V45" i="45"/>
  <c r="V49" i="45"/>
  <c r="J53" i="45"/>
  <c r="V57" i="45"/>
  <c r="J61" i="45"/>
  <c r="V65" i="45"/>
  <c r="J69" i="45"/>
  <c r="J73" i="45"/>
  <c r="J81" i="45"/>
  <c r="V85" i="45"/>
  <c r="V89" i="45"/>
  <c r="J91" i="45"/>
  <c r="J99" i="45"/>
  <c r="R16" i="46"/>
  <c r="J18" i="46"/>
  <c r="R20" i="46"/>
  <c r="F24" i="46"/>
  <c r="V24" i="46"/>
  <c r="J15" i="47"/>
  <c r="H18" i="47"/>
  <c r="F21" i="47"/>
  <c r="V21" i="47"/>
  <c r="J25" i="47"/>
  <c r="R27" i="47"/>
  <c r="J29" i="47"/>
  <c r="R31" i="47"/>
  <c r="J33" i="47"/>
  <c r="R34" i="47"/>
  <c r="J36" i="47"/>
  <c r="V17" i="48"/>
  <c r="J23" i="48"/>
  <c r="V27" i="48"/>
  <c r="R28" i="48"/>
  <c r="V31" i="48"/>
  <c r="R32" i="48"/>
  <c r="J35" i="48"/>
  <c r="V39" i="48"/>
  <c r="R40" i="48"/>
  <c r="V43" i="48"/>
  <c r="J47" i="48"/>
  <c r="V51" i="48"/>
  <c r="R52" i="48"/>
  <c r="J53" i="48"/>
  <c r="R57" i="48"/>
  <c r="J59" i="48"/>
  <c r="R61" i="48"/>
  <c r="V63" i="48"/>
  <c r="R64" i="48"/>
  <c r="V67" i="48"/>
  <c r="R68" i="48"/>
  <c r="J69" i="48"/>
  <c r="R75" i="48"/>
  <c r="J79" i="48"/>
  <c r="J16" i="49"/>
  <c r="R18" i="49"/>
  <c r="J20" i="49"/>
  <c r="F22" i="49"/>
  <c r="V22" i="49"/>
  <c r="R15" i="50"/>
  <c r="P18" i="50"/>
  <c r="R25" i="50"/>
  <c r="J27" i="50"/>
  <c r="R29" i="50"/>
  <c r="J31" i="50"/>
  <c r="R33" i="50"/>
  <c r="J34" i="50"/>
  <c r="R36" i="50"/>
  <c r="D12" i="51"/>
  <c r="V23" i="51"/>
  <c r="J27" i="51"/>
  <c r="J33" i="51"/>
  <c r="J35" i="51"/>
  <c r="V39" i="51"/>
  <c r="J43" i="51"/>
  <c r="J56" i="51"/>
  <c r="J62" i="51"/>
  <c r="V64" i="51"/>
  <c r="L15" i="52"/>
  <c r="L29" i="52"/>
  <c r="X33" i="52"/>
  <c r="F36" i="53"/>
  <c r="F33" i="53"/>
  <c r="F29" i="53"/>
  <c r="F25" i="53"/>
  <c r="D18" i="53"/>
  <c r="F15" i="53"/>
  <c r="L12" i="53"/>
  <c r="F22" i="53"/>
  <c r="F20" i="53"/>
  <c r="F16" i="53"/>
  <c r="F34" i="53"/>
  <c r="F31" i="53"/>
  <c r="F27" i="53"/>
  <c r="F24" i="53"/>
  <c r="F21" i="53"/>
  <c r="F18" i="53"/>
  <c r="L20" i="53"/>
  <c r="N20" i="53"/>
  <c r="N16" i="54"/>
  <c r="H22" i="54"/>
  <c r="V18" i="45"/>
  <c r="V26" i="45"/>
  <c r="V34" i="45"/>
  <c r="V38" i="45"/>
  <c r="V46" i="45"/>
  <c r="V54" i="45"/>
  <c r="V62" i="45"/>
  <c r="J78" i="45"/>
  <c r="J82" i="45"/>
  <c r="V86" i="45"/>
  <c r="J88" i="45"/>
  <c r="V90" i="45"/>
  <c r="J94" i="45"/>
  <c r="F27" i="46"/>
  <c r="F31" i="46"/>
  <c r="F34" i="46"/>
  <c r="V24" i="47"/>
  <c r="V20" i="48"/>
  <c r="V28" i="48"/>
  <c r="V32" i="48"/>
  <c r="V40" i="48"/>
  <c r="V48" i="48"/>
  <c r="V52" i="48"/>
  <c r="J56" i="48"/>
  <c r="J60" i="48"/>
  <c r="V64" i="48"/>
  <c r="V68" i="48"/>
  <c r="J73" i="48"/>
  <c r="R77" i="48"/>
  <c r="R21" i="49"/>
  <c r="J16" i="50"/>
  <c r="J20" i="50"/>
  <c r="J77" i="51"/>
  <c r="J72" i="51"/>
  <c r="J63" i="51"/>
  <c r="J55" i="51"/>
  <c r="J47" i="51"/>
  <c r="J75" i="51"/>
  <c r="J68" i="51"/>
  <c r="J60" i="51"/>
  <c r="J54" i="51"/>
  <c r="J46" i="51"/>
  <c r="J20" i="51"/>
  <c r="J28" i="51"/>
  <c r="J36" i="51"/>
  <c r="J44" i="51"/>
  <c r="V55" i="51"/>
  <c r="V65" i="51"/>
  <c r="V81" i="51"/>
  <c r="F36" i="52"/>
  <c r="F33" i="52"/>
  <c r="F29" i="52"/>
  <c r="F25" i="52"/>
  <c r="D18" i="52"/>
  <c r="F15" i="52"/>
  <c r="L12" i="52"/>
  <c r="F34" i="52"/>
  <c r="F31" i="52"/>
  <c r="F27" i="52"/>
  <c r="F24" i="52"/>
  <c r="F21" i="52"/>
  <c r="F16" i="52"/>
  <c r="F27" i="44"/>
  <c r="F31" i="44"/>
  <c r="V19" i="45"/>
  <c r="J23" i="45"/>
  <c r="V27" i="45"/>
  <c r="J31" i="45"/>
  <c r="V35" i="45"/>
  <c r="J37" i="45"/>
  <c r="V39" i="45"/>
  <c r="J43" i="45"/>
  <c r="V47" i="45"/>
  <c r="J51" i="45"/>
  <c r="V55" i="45"/>
  <c r="J59" i="45"/>
  <c r="V63" i="45"/>
  <c r="J67" i="45"/>
  <c r="J71" i="45"/>
  <c r="J75" i="45"/>
  <c r="V79" i="45"/>
  <c r="J83" i="45"/>
  <c r="V87" i="45"/>
  <c r="J95" i="45"/>
  <c r="V97" i="45"/>
  <c r="J101" i="45"/>
  <c r="F16" i="46"/>
  <c r="V16" i="46"/>
  <c r="F27" i="47"/>
  <c r="V27" i="47"/>
  <c r="F31" i="47"/>
  <c r="V31" i="47"/>
  <c r="X12" i="48"/>
  <c r="Z12" i="48" s="1"/>
  <c r="R15" i="48"/>
  <c r="J17" i="48"/>
  <c r="R19" i="48"/>
  <c r="V21" i="48"/>
  <c r="R22" i="48"/>
  <c r="J25" i="48"/>
  <c r="V29" i="48"/>
  <c r="R30" i="48"/>
  <c r="J31" i="48"/>
  <c r="V33" i="48"/>
  <c r="R34" i="48"/>
  <c r="J37" i="48"/>
  <c r="V41" i="48"/>
  <c r="J45" i="48"/>
  <c r="V49" i="48"/>
  <c r="R50" i="48"/>
  <c r="J51" i="48"/>
  <c r="R55" i="48"/>
  <c r="V57" i="48"/>
  <c r="R58" i="48"/>
  <c r="V61" i="48"/>
  <c r="R62" i="48"/>
  <c r="J63" i="48"/>
  <c r="V65" i="48"/>
  <c r="J67" i="48"/>
  <c r="V77" i="48"/>
  <c r="N12" i="49"/>
  <c r="R24" i="49"/>
  <c r="L12" i="50"/>
  <c r="F15" i="50"/>
  <c r="V15" i="50"/>
  <c r="D18" i="50"/>
  <c r="T18" i="50"/>
  <c r="F25" i="50"/>
  <c r="V25" i="50"/>
  <c r="F29" i="50"/>
  <c r="V29" i="50"/>
  <c r="F33" i="50"/>
  <c r="V33" i="50"/>
  <c r="J21" i="51"/>
  <c r="V25" i="51"/>
  <c r="J29" i="51"/>
  <c r="V31" i="51"/>
  <c r="J37" i="51"/>
  <c r="V41" i="51"/>
  <c r="V45" i="51"/>
  <c r="V46" i="51"/>
  <c r="V49" i="51"/>
  <c r="V53" i="51"/>
  <c r="V54" i="51"/>
  <c r="J57" i="51"/>
  <c r="V60" i="51"/>
  <c r="V61" i="51"/>
  <c r="X66" i="51"/>
  <c r="Z66" i="51" s="1"/>
  <c r="V69" i="51"/>
  <c r="J34" i="52"/>
  <c r="J31" i="52"/>
  <c r="J27" i="52"/>
  <c r="J21" i="52"/>
  <c r="J18" i="52"/>
  <c r="J36" i="52"/>
  <c r="J33" i="52"/>
  <c r="J29" i="52"/>
  <c r="J25" i="52"/>
  <c r="H18" i="52"/>
  <c r="J15" i="52"/>
  <c r="F18" i="52"/>
  <c r="J20" i="52"/>
  <c r="L33" i="52"/>
  <c r="Z29" i="56"/>
  <c r="Z54" i="56"/>
  <c r="V28" i="45"/>
  <c r="V36" i="45"/>
  <c r="V40" i="45"/>
  <c r="V52" i="45"/>
  <c r="V60" i="45"/>
  <c r="V68" i="45"/>
  <c r="V72" i="45"/>
  <c r="V22" i="48"/>
  <c r="V30" i="48"/>
  <c r="V34" i="48"/>
  <c r="V46" i="48"/>
  <c r="V50" i="48"/>
  <c r="J54" i="48"/>
  <c r="V58" i="48"/>
  <c r="V62" i="48"/>
  <c r="V66" i="48"/>
  <c r="R27" i="49"/>
  <c r="R31" i="49"/>
  <c r="N12" i="50"/>
  <c r="J22" i="51"/>
  <c r="H31" i="51"/>
  <c r="J38" i="51"/>
  <c r="X60" i="51"/>
  <c r="Z60" i="51" s="1"/>
  <c r="J64" i="51"/>
  <c r="Z68" i="51"/>
  <c r="V71" i="51"/>
  <c r="J74" i="51"/>
  <c r="J76" i="51"/>
  <c r="F22" i="52"/>
  <c r="Z28" i="54"/>
  <c r="Z21" i="55"/>
  <c r="V21" i="52"/>
  <c r="R27" i="52"/>
  <c r="R31" i="52"/>
  <c r="R34" i="52"/>
  <c r="N12" i="53"/>
  <c r="V18" i="53"/>
  <c r="J22" i="53"/>
  <c r="Z22" i="53"/>
  <c r="R24" i="53"/>
  <c r="L12" i="54"/>
  <c r="P16" i="54"/>
  <c r="D16" i="55"/>
  <c r="T16" i="55"/>
  <c r="R19" i="55"/>
  <c r="F21" i="55"/>
  <c r="V21" i="55"/>
  <c r="R22" i="55"/>
  <c r="J23" i="55"/>
  <c r="Z23" i="55"/>
  <c r="N25" i="55"/>
  <c r="F26" i="55"/>
  <c r="R29" i="55"/>
  <c r="J31" i="55"/>
  <c r="J38" i="55"/>
  <c r="V79" i="56"/>
  <c r="V73" i="56"/>
  <c r="V67" i="56"/>
  <c r="V82" i="56"/>
  <c r="V77" i="56"/>
  <c r="V75" i="56"/>
  <c r="V71" i="56"/>
  <c r="N14" i="56"/>
  <c r="F16" i="56"/>
  <c r="V16" i="56"/>
  <c r="N18" i="56"/>
  <c r="J22" i="56"/>
  <c r="F23" i="56"/>
  <c r="V26" i="56"/>
  <c r="R27" i="56"/>
  <c r="V30" i="56"/>
  <c r="R31" i="56"/>
  <c r="J34" i="56"/>
  <c r="F35" i="56"/>
  <c r="V38" i="56"/>
  <c r="R39" i="56"/>
  <c r="J40" i="56"/>
  <c r="Z40" i="56"/>
  <c r="N42" i="56"/>
  <c r="F43" i="56"/>
  <c r="R44" i="56"/>
  <c r="F46" i="56"/>
  <c r="V46" i="56"/>
  <c r="R47" i="56"/>
  <c r="J48" i="56"/>
  <c r="Z48" i="56"/>
  <c r="N50" i="56"/>
  <c r="F51" i="56"/>
  <c r="R52" i="56"/>
  <c r="F54" i="56"/>
  <c r="V54" i="56"/>
  <c r="R55" i="56"/>
  <c r="F58" i="56"/>
  <c r="V58" i="56"/>
  <c r="R59" i="56"/>
  <c r="V62" i="56"/>
  <c r="F65" i="56"/>
  <c r="R66" i="56"/>
  <c r="R67" i="56"/>
  <c r="N68" i="56"/>
  <c r="F69" i="56"/>
  <c r="R75" i="56"/>
  <c r="R82" i="56"/>
  <c r="L12" i="57"/>
  <c r="F26" i="57"/>
  <c r="J27" i="57"/>
  <c r="F28" i="57"/>
  <c r="F29" i="57"/>
  <c r="J33" i="57"/>
  <c r="J34" i="57"/>
  <c r="F35" i="57"/>
  <c r="F36" i="57"/>
  <c r="V37" i="57"/>
  <c r="V38" i="57"/>
  <c r="V42" i="57"/>
  <c r="F46" i="57"/>
  <c r="F47" i="57"/>
  <c r="N48" i="57"/>
  <c r="L48" i="57"/>
  <c r="V57" i="57"/>
  <c r="F74" i="57"/>
  <c r="D74" i="51"/>
  <c r="L74" i="51" s="1"/>
  <c r="N74" i="51" s="1"/>
  <c r="R16" i="52"/>
  <c r="J15" i="53"/>
  <c r="H18" i="53"/>
  <c r="V21" i="53"/>
  <c r="J25" i="53"/>
  <c r="R27" i="53"/>
  <c r="J29" i="53"/>
  <c r="R31" i="53"/>
  <c r="J33" i="53"/>
  <c r="J36" i="53"/>
  <c r="N12" i="54"/>
  <c r="J14" i="54"/>
  <c r="R16" i="54"/>
  <c r="J18" i="54"/>
  <c r="R20" i="54"/>
  <c r="J22" i="54"/>
  <c r="R26" i="54"/>
  <c r="J28" i="54"/>
  <c r="R29" i="54"/>
  <c r="J31" i="54"/>
  <c r="F16" i="55"/>
  <c r="V16" i="55"/>
  <c r="V22" i="55"/>
  <c r="J26" i="55"/>
  <c r="F27" i="55"/>
  <c r="F33" i="55"/>
  <c r="X12" i="56"/>
  <c r="H16" i="56"/>
  <c r="X16" i="56"/>
  <c r="F19" i="56"/>
  <c r="V19" i="56"/>
  <c r="R20" i="56"/>
  <c r="J23" i="56"/>
  <c r="F24" i="56"/>
  <c r="V27" i="56"/>
  <c r="R28" i="56"/>
  <c r="J29" i="56"/>
  <c r="V31" i="56"/>
  <c r="R32" i="56"/>
  <c r="J35" i="56"/>
  <c r="F36" i="56"/>
  <c r="V39" i="56"/>
  <c r="J43" i="56"/>
  <c r="V47" i="56"/>
  <c r="J51" i="56"/>
  <c r="V55" i="56"/>
  <c r="R56" i="56"/>
  <c r="V59" i="56"/>
  <c r="R60" i="56"/>
  <c r="J61" i="56"/>
  <c r="J64" i="56"/>
  <c r="J65" i="56"/>
  <c r="J69" i="56"/>
  <c r="F70" i="56"/>
  <c r="V70" i="56"/>
  <c r="T75" i="56"/>
  <c r="R71" i="57"/>
  <c r="R65" i="57"/>
  <c r="R61" i="57"/>
  <c r="R52" i="57"/>
  <c r="R36" i="57"/>
  <c r="R60" i="57"/>
  <c r="R51" i="57"/>
  <c r="R74" i="57"/>
  <c r="R55" i="57"/>
  <c r="R67" i="57"/>
  <c r="R59" i="57"/>
  <c r="R58" i="57"/>
  <c r="R54" i="57"/>
  <c r="R50" i="57"/>
  <c r="R45" i="57"/>
  <c r="R42" i="57"/>
  <c r="R33" i="57"/>
  <c r="R21" i="57"/>
  <c r="R18" i="57"/>
  <c r="R14" i="57"/>
  <c r="R69" i="57"/>
  <c r="R57" i="57"/>
  <c r="R56" i="57"/>
  <c r="R53" i="57"/>
  <c r="R49" i="57"/>
  <c r="R46" i="57"/>
  <c r="R41" i="57"/>
  <c r="R37" i="57"/>
  <c r="R25" i="57"/>
  <c r="R16" i="57"/>
  <c r="F19" i="57"/>
  <c r="V19" i="57"/>
  <c r="F23" i="57"/>
  <c r="J25" i="57"/>
  <c r="J26" i="57"/>
  <c r="J35" i="57"/>
  <c r="L44" i="57"/>
  <c r="J48" i="57"/>
  <c r="Z50" i="57"/>
  <c r="F55" i="57"/>
  <c r="F60" i="57"/>
  <c r="Z62" i="57"/>
  <c r="X62" i="57"/>
  <c r="J18" i="53"/>
  <c r="V24" i="53"/>
  <c r="T16" i="54"/>
  <c r="H16" i="55"/>
  <c r="F19" i="55"/>
  <c r="J21" i="55"/>
  <c r="F24" i="55"/>
  <c r="J27" i="55"/>
  <c r="F29" i="55"/>
  <c r="V29" i="55"/>
  <c r="J33" i="55"/>
  <c r="F35" i="55"/>
  <c r="V35" i="55"/>
  <c r="R14" i="56"/>
  <c r="J16" i="56"/>
  <c r="R18" i="56"/>
  <c r="R21" i="56"/>
  <c r="J24" i="56"/>
  <c r="F25" i="56"/>
  <c r="R33" i="56"/>
  <c r="J36" i="56"/>
  <c r="F37" i="56"/>
  <c r="F41" i="56"/>
  <c r="R42" i="56"/>
  <c r="F44" i="56"/>
  <c r="V44" i="56"/>
  <c r="R45" i="56"/>
  <c r="J46" i="56"/>
  <c r="F49" i="56"/>
  <c r="R50" i="56"/>
  <c r="F52" i="56"/>
  <c r="V52" i="56"/>
  <c r="R53" i="56"/>
  <c r="J54" i="56"/>
  <c r="V56" i="56"/>
  <c r="R57" i="56"/>
  <c r="J58" i="56"/>
  <c r="V60" i="56"/>
  <c r="V66" i="56"/>
  <c r="R68" i="56"/>
  <c r="V71" i="57"/>
  <c r="V65" i="57"/>
  <c r="V59" i="57"/>
  <c r="V61" i="57"/>
  <c r="V74" i="57"/>
  <c r="V51" i="57"/>
  <c r="V43" i="57"/>
  <c r="V35" i="57"/>
  <c r="V67" i="57"/>
  <c r="V58" i="57"/>
  <c r="V55" i="57"/>
  <c r="V54" i="57"/>
  <c r="V50" i="57"/>
  <c r="V69" i="57"/>
  <c r="V44" i="57"/>
  <c r="V32" i="57"/>
  <c r="V28" i="57"/>
  <c r="V20" i="57"/>
  <c r="Z12" i="57"/>
  <c r="V63" i="57"/>
  <c r="V62" i="57"/>
  <c r="V47" i="57"/>
  <c r="V39" i="57"/>
  <c r="V60" i="57"/>
  <c r="V52" i="57"/>
  <c r="V48" i="57"/>
  <c r="V40" i="57"/>
  <c r="V36" i="57"/>
  <c r="V24" i="57"/>
  <c r="P67" i="57"/>
  <c r="F22" i="57"/>
  <c r="J23" i="57"/>
  <c r="F24" i="57"/>
  <c r="J29" i="57"/>
  <c r="F31" i="57"/>
  <c r="F42" i="57"/>
  <c r="F43" i="57"/>
  <c r="N44" i="57"/>
  <c r="J45" i="57"/>
  <c r="F59" i="57"/>
  <c r="N42" i="60"/>
  <c r="L42" i="60"/>
  <c r="L64" i="62"/>
  <c r="N64" i="62" s="1"/>
  <c r="V31" i="53"/>
  <c r="V34" i="53"/>
  <c r="V16" i="54"/>
  <c r="V20" i="54"/>
  <c r="J24" i="54"/>
  <c r="V26" i="54"/>
  <c r="V29" i="54"/>
  <c r="J16" i="55"/>
  <c r="J24" i="55"/>
  <c r="X29" i="55"/>
  <c r="F79" i="56"/>
  <c r="F73" i="56"/>
  <c r="F82" i="56"/>
  <c r="F75" i="56"/>
  <c r="F64" i="56"/>
  <c r="L16" i="56"/>
  <c r="J19" i="56"/>
  <c r="R22" i="56"/>
  <c r="J25" i="56"/>
  <c r="F26" i="56"/>
  <c r="F30" i="56"/>
  <c r="R34" i="56"/>
  <c r="J37" i="56"/>
  <c r="F38" i="56"/>
  <c r="J41" i="56"/>
  <c r="J49" i="56"/>
  <c r="V53" i="56"/>
  <c r="V57" i="56"/>
  <c r="F62" i="56"/>
  <c r="R63" i="56"/>
  <c r="T67" i="57"/>
  <c r="Z16" i="57"/>
  <c r="J19" i="57"/>
  <c r="J21" i="57"/>
  <c r="J22" i="57"/>
  <c r="F30" i="57"/>
  <c r="V33" i="57"/>
  <c r="F38" i="57"/>
  <c r="J44" i="57"/>
  <c r="R47" i="57"/>
  <c r="R48" i="57"/>
  <c r="F51" i="57"/>
  <c r="J59" i="57"/>
  <c r="Z18" i="58"/>
  <c r="H16" i="60"/>
  <c r="N14" i="60"/>
  <c r="L14" i="60"/>
  <c r="X12" i="54"/>
  <c r="J19" i="55"/>
  <c r="F22" i="55"/>
  <c r="F25" i="55"/>
  <c r="J29" i="55"/>
  <c r="J35" i="55"/>
  <c r="J77" i="56"/>
  <c r="J71" i="56"/>
  <c r="J67" i="56"/>
  <c r="F14" i="56"/>
  <c r="F18" i="56"/>
  <c r="R23" i="56"/>
  <c r="J26" i="56"/>
  <c r="F27" i="56"/>
  <c r="J30" i="56"/>
  <c r="F31" i="56"/>
  <c r="R35" i="56"/>
  <c r="J38" i="56"/>
  <c r="F39" i="56"/>
  <c r="R40" i="56"/>
  <c r="F42" i="56"/>
  <c r="V42" i="56"/>
  <c r="R43" i="56"/>
  <c r="J44" i="56"/>
  <c r="F47" i="56"/>
  <c r="R48" i="56"/>
  <c r="F50" i="56"/>
  <c r="V50" i="56"/>
  <c r="R51" i="56"/>
  <c r="J52" i="56"/>
  <c r="F55" i="56"/>
  <c r="F59" i="56"/>
  <c r="J62" i="56"/>
  <c r="V64" i="56"/>
  <c r="R65" i="56"/>
  <c r="J66" i="56"/>
  <c r="V68" i="56"/>
  <c r="R69" i="56"/>
  <c r="F71" i="56"/>
  <c r="J73" i="56"/>
  <c r="F77" i="56"/>
  <c r="J79" i="56"/>
  <c r="X14" i="57"/>
  <c r="V16" i="57"/>
  <c r="Z18" i="57"/>
  <c r="F20" i="57"/>
  <c r="V25" i="57"/>
  <c r="V26" i="57"/>
  <c r="V27" i="57"/>
  <c r="J30" i="57"/>
  <c r="R32" i="57"/>
  <c r="V34" i="57"/>
  <c r="R35" i="57"/>
  <c r="J38" i="57"/>
  <c r="L40" i="57"/>
  <c r="N40" i="57" s="1"/>
  <c r="J41" i="57"/>
  <c r="V45" i="57"/>
  <c r="V56" i="57"/>
  <c r="J22" i="55"/>
  <c r="R24" i="56"/>
  <c r="F28" i="56"/>
  <c r="R29" i="56"/>
  <c r="F32" i="56"/>
  <c r="R36" i="56"/>
  <c r="J47" i="56"/>
  <c r="J55" i="56"/>
  <c r="F56" i="56"/>
  <c r="J59" i="56"/>
  <c r="F60" i="56"/>
  <c r="R61" i="56"/>
  <c r="F63" i="56"/>
  <c r="V63" i="56"/>
  <c r="V65" i="56"/>
  <c r="F67" i="56"/>
  <c r="F68" i="56"/>
  <c r="V69" i="56"/>
  <c r="J75" i="56"/>
  <c r="J82" i="56"/>
  <c r="J40" i="57"/>
  <c r="X46" i="57"/>
  <c r="Z46" i="57" s="1"/>
  <c r="Z16" i="58"/>
  <c r="T76" i="58"/>
  <c r="J16" i="53"/>
  <c r="L16" i="54"/>
  <c r="L12" i="55"/>
  <c r="F20" i="55"/>
  <c r="F23" i="55"/>
  <c r="J25" i="55"/>
  <c r="V27" i="55"/>
  <c r="F31" i="55"/>
  <c r="V31" i="55"/>
  <c r="V33" i="55"/>
  <c r="N12" i="56"/>
  <c r="J14" i="56"/>
  <c r="R16" i="56"/>
  <c r="J18" i="56"/>
  <c r="J20" i="56"/>
  <c r="F21" i="56"/>
  <c r="R25" i="56"/>
  <c r="J28" i="56"/>
  <c r="J32" i="56"/>
  <c r="F33" i="56"/>
  <c r="R37" i="56"/>
  <c r="F40" i="56"/>
  <c r="R41" i="56"/>
  <c r="J42" i="56"/>
  <c r="F45" i="56"/>
  <c r="R46" i="56"/>
  <c r="F48" i="56"/>
  <c r="V48" i="56"/>
  <c r="R49" i="56"/>
  <c r="J50" i="56"/>
  <c r="F53" i="56"/>
  <c r="R54" i="56"/>
  <c r="J56" i="56"/>
  <c r="F57" i="56"/>
  <c r="R58" i="56"/>
  <c r="J60" i="56"/>
  <c r="F71" i="57"/>
  <c r="F65" i="57"/>
  <c r="F63" i="57"/>
  <c r="F32" i="57"/>
  <c r="F58" i="57"/>
  <c r="F57" i="57"/>
  <c r="F54" i="57"/>
  <c r="F50" i="57"/>
  <c r="F62" i="57"/>
  <c r="F53" i="57"/>
  <c r="F49" i="57"/>
  <c r="F44" i="57"/>
  <c r="F41" i="57"/>
  <c r="F37" i="57"/>
  <c r="F25" i="57"/>
  <c r="F61" i="57"/>
  <c r="F52" i="57"/>
  <c r="F69" i="57"/>
  <c r="F67" i="57"/>
  <c r="F48" i="57"/>
  <c r="F45" i="57"/>
  <c r="F40" i="57"/>
  <c r="F33" i="57"/>
  <c r="F21" i="57"/>
  <c r="F16" i="57"/>
  <c r="V21" i="57"/>
  <c r="V22" i="57"/>
  <c r="V23" i="57"/>
  <c r="V31" i="57"/>
  <c r="J37" i="57"/>
  <c r="V41" i="57"/>
  <c r="X42" i="57"/>
  <c r="V46" i="57"/>
  <c r="F56" i="57"/>
  <c r="N12" i="55"/>
  <c r="J14" i="55"/>
  <c r="J18" i="55"/>
  <c r="R19" i="56"/>
  <c r="R26" i="56"/>
  <c r="F29" i="56"/>
  <c r="R30" i="56"/>
  <c r="F34" i="56"/>
  <c r="R38" i="56"/>
  <c r="J45" i="56"/>
  <c r="J53" i="56"/>
  <c r="J57" i="56"/>
  <c r="F61" i="56"/>
  <c r="R62" i="56"/>
  <c r="J63" i="56"/>
  <c r="J68" i="56"/>
  <c r="R70" i="56"/>
  <c r="R71" i="56"/>
  <c r="R73" i="56"/>
  <c r="R77" i="56"/>
  <c r="R79" i="56"/>
  <c r="J69" i="57"/>
  <c r="J63" i="57"/>
  <c r="J55" i="57"/>
  <c r="J74" i="57"/>
  <c r="J67" i="57"/>
  <c r="J57" i="57"/>
  <c r="J47" i="57"/>
  <c r="J39" i="57"/>
  <c r="J31" i="57"/>
  <c r="J62" i="57"/>
  <c r="J53" i="57"/>
  <c r="J49" i="57"/>
  <c r="J61" i="57"/>
  <c r="J56" i="57"/>
  <c r="J52" i="57"/>
  <c r="J46" i="57"/>
  <c r="J36" i="57"/>
  <c r="J24" i="57"/>
  <c r="J16" i="57"/>
  <c r="J60" i="57"/>
  <c r="J51" i="57"/>
  <c r="J43" i="57"/>
  <c r="J65" i="57"/>
  <c r="J58" i="57"/>
  <c r="J54" i="57"/>
  <c r="J50" i="57"/>
  <c r="J42" i="57"/>
  <c r="J32" i="57"/>
  <c r="J28" i="57"/>
  <c r="J20" i="57"/>
  <c r="J18" i="57"/>
  <c r="J14" i="57"/>
  <c r="N12" i="57"/>
  <c r="H16" i="57"/>
  <c r="L16" i="57" s="1"/>
  <c r="V53" i="57"/>
  <c r="Z54" i="57"/>
  <c r="P16" i="58"/>
  <c r="F19" i="58"/>
  <c r="R28" i="58"/>
  <c r="Z30" i="58"/>
  <c r="F36" i="58"/>
  <c r="F38" i="58"/>
  <c r="F43" i="58"/>
  <c r="R45" i="58"/>
  <c r="R46" i="58"/>
  <c r="F48" i="58"/>
  <c r="F66" i="58"/>
  <c r="N74" i="58"/>
  <c r="L74" i="58"/>
  <c r="N56" i="60"/>
  <c r="L56" i="60"/>
  <c r="F38" i="61"/>
  <c r="Z40" i="61"/>
  <c r="Z44" i="61"/>
  <c r="N19" i="62"/>
  <c r="Z31" i="62"/>
  <c r="N33" i="65"/>
  <c r="L33" i="65"/>
  <c r="F42" i="58"/>
  <c r="F50" i="58"/>
  <c r="R53" i="58"/>
  <c r="R58" i="58"/>
  <c r="N62" i="58"/>
  <c r="F38" i="59"/>
  <c r="N52" i="59"/>
  <c r="L52" i="59"/>
  <c r="X40" i="60"/>
  <c r="Z40" i="60" s="1"/>
  <c r="P101" i="62"/>
  <c r="L62" i="57"/>
  <c r="F80" i="58"/>
  <c r="F74" i="58"/>
  <c r="F60" i="58"/>
  <c r="F37" i="58"/>
  <c r="F25" i="58"/>
  <c r="F78" i="58"/>
  <c r="F72" i="58"/>
  <c r="F67" i="58"/>
  <c r="F62" i="58"/>
  <c r="F59" i="58"/>
  <c r="F55" i="58"/>
  <c r="F35" i="58"/>
  <c r="F30" i="58"/>
  <c r="F23" i="58"/>
  <c r="F16" i="58"/>
  <c r="F83" i="58"/>
  <c r="F76" i="58"/>
  <c r="F65" i="58"/>
  <c r="F61" i="58"/>
  <c r="F71" i="58"/>
  <c r="F68" i="58"/>
  <c r="F63" i="58"/>
  <c r="F39" i="58"/>
  <c r="F31" i="58"/>
  <c r="F27" i="58"/>
  <c r="F14" i="58"/>
  <c r="F20" i="58"/>
  <c r="R24" i="58"/>
  <c r="F29" i="58"/>
  <c r="R36" i="58"/>
  <c r="R37" i="58"/>
  <c r="R38" i="58"/>
  <c r="X41" i="58"/>
  <c r="Z41" i="58" s="1"/>
  <c r="F44" i="58"/>
  <c r="R47" i="58"/>
  <c r="R48" i="58"/>
  <c r="F53" i="58"/>
  <c r="R66" i="58"/>
  <c r="N18" i="59"/>
  <c r="F45" i="59"/>
  <c r="N18" i="60"/>
  <c r="L18" i="60"/>
  <c r="N18" i="61"/>
  <c r="F55" i="61"/>
  <c r="H101" i="62"/>
  <c r="N17" i="62"/>
  <c r="L17" i="62"/>
  <c r="Z19" i="62"/>
  <c r="Z44" i="62"/>
  <c r="N66" i="62"/>
  <c r="L66" i="62"/>
  <c r="J78" i="58"/>
  <c r="J72" i="58"/>
  <c r="J62" i="58"/>
  <c r="J56" i="58"/>
  <c r="J52" i="58"/>
  <c r="J44" i="58"/>
  <c r="J36" i="58"/>
  <c r="J30" i="58"/>
  <c r="J24" i="58"/>
  <c r="J16" i="58"/>
  <c r="J69" i="58"/>
  <c r="J59" i="58"/>
  <c r="J83" i="58"/>
  <c r="J76" i="58"/>
  <c r="J66" i="58"/>
  <c r="J58" i="58"/>
  <c r="J54" i="58"/>
  <c r="J46" i="58"/>
  <c r="J34" i="58"/>
  <c r="J22" i="58"/>
  <c r="J71" i="58"/>
  <c r="J68" i="58"/>
  <c r="J64" i="58"/>
  <c r="J80" i="58"/>
  <c r="J74" i="58"/>
  <c r="J70" i="58"/>
  <c r="J60" i="58"/>
  <c r="J50" i="58"/>
  <c r="J42" i="58"/>
  <c r="J38" i="58"/>
  <c r="J26" i="58"/>
  <c r="D16" i="58"/>
  <c r="J20" i="58"/>
  <c r="R22" i="58"/>
  <c r="R23" i="58"/>
  <c r="J29" i="58"/>
  <c r="N30" i="58"/>
  <c r="R34" i="58"/>
  <c r="R41" i="58"/>
  <c r="R42" i="58"/>
  <c r="J45" i="58"/>
  <c r="R49" i="58"/>
  <c r="R50" i="58"/>
  <c r="F52" i="58"/>
  <c r="F57" i="58"/>
  <c r="L60" i="58"/>
  <c r="Z62" i="58"/>
  <c r="H66" i="59"/>
  <c r="N16" i="59"/>
  <c r="F30" i="59"/>
  <c r="N42" i="59"/>
  <c r="Z56" i="59"/>
  <c r="F61" i="59"/>
  <c r="Z42" i="60"/>
  <c r="N49" i="60"/>
  <c r="P58" i="60"/>
  <c r="H57" i="61"/>
  <c r="N16" i="61"/>
  <c r="F50" i="61"/>
  <c r="N46" i="62"/>
  <c r="Z56" i="62"/>
  <c r="X56" i="62"/>
  <c r="H76" i="58"/>
  <c r="F28" i="58"/>
  <c r="R43" i="58"/>
  <c r="R44" i="58"/>
  <c r="F47" i="58"/>
  <c r="F56" i="58"/>
  <c r="F64" i="58"/>
  <c r="R67" i="58"/>
  <c r="F70" i="58"/>
  <c r="Z42" i="61"/>
  <c r="X42" i="61"/>
  <c r="N18" i="58"/>
  <c r="F40" i="58"/>
  <c r="F46" i="58"/>
  <c r="R51" i="58"/>
  <c r="R52" i="58"/>
  <c r="Z60" i="58"/>
  <c r="F69" i="58"/>
  <c r="F57" i="59"/>
  <c r="F52" i="59"/>
  <c r="F41" i="59"/>
  <c r="F37" i="59"/>
  <c r="F25" i="59"/>
  <c r="F60" i="59"/>
  <c r="F47" i="59"/>
  <c r="F44" i="59"/>
  <c r="F36" i="59"/>
  <c r="F24" i="59"/>
  <c r="F19" i="59"/>
  <c r="F70" i="59"/>
  <c r="F64" i="59"/>
  <c r="F54" i="59"/>
  <c r="F51" i="59"/>
  <c r="F43" i="59"/>
  <c r="F35" i="59"/>
  <c r="F23" i="59"/>
  <c r="F16" i="59"/>
  <c r="F68" i="59"/>
  <c r="F62" i="59"/>
  <c r="F50" i="59"/>
  <c r="F46" i="59"/>
  <c r="F34" i="59"/>
  <c r="F29" i="59"/>
  <c r="F22" i="59"/>
  <c r="D16" i="59"/>
  <c r="F56" i="59"/>
  <c r="F53" i="59"/>
  <c r="F49" i="59"/>
  <c r="F40" i="59"/>
  <c r="F33" i="59"/>
  <c r="F21" i="59"/>
  <c r="F59" i="59"/>
  <c r="F48" i="59"/>
  <c r="F32" i="59"/>
  <c r="F28" i="59"/>
  <c r="F20" i="59"/>
  <c r="L12" i="59"/>
  <c r="F73" i="59"/>
  <c r="F66" i="59"/>
  <c r="F55" i="59"/>
  <c r="F42" i="59"/>
  <c r="F39" i="59"/>
  <c r="F31" i="59"/>
  <c r="F27" i="59"/>
  <c r="F18" i="59"/>
  <c r="F14" i="59"/>
  <c r="X18" i="59"/>
  <c r="Z18" i="59" s="1"/>
  <c r="X42" i="59"/>
  <c r="Z42" i="59" s="1"/>
  <c r="N54" i="59"/>
  <c r="F58" i="59"/>
  <c r="Z18" i="60"/>
  <c r="N40" i="60"/>
  <c r="F59" i="61"/>
  <c r="F53" i="61"/>
  <c r="F44" i="61"/>
  <c r="F41" i="61"/>
  <c r="F37" i="61"/>
  <c r="F25" i="61"/>
  <c r="F47" i="61"/>
  <c r="F36" i="61"/>
  <c r="F24" i="61"/>
  <c r="F19" i="61"/>
  <c r="F43" i="61"/>
  <c r="F35" i="61"/>
  <c r="F23" i="61"/>
  <c r="F16" i="61"/>
  <c r="F64" i="61"/>
  <c r="F57" i="61"/>
  <c r="F49" i="61"/>
  <c r="F46" i="61"/>
  <c r="F34" i="61"/>
  <c r="F29" i="61"/>
  <c r="F22" i="61"/>
  <c r="D16" i="61"/>
  <c r="F52" i="61"/>
  <c r="F45" i="61"/>
  <c r="F40" i="61"/>
  <c r="F33" i="61"/>
  <c r="F21" i="61"/>
  <c r="F48" i="61"/>
  <c r="F32" i="61"/>
  <c r="F28" i="61"/>
  <c r="F20" i="61"/>
  <c r="L12" i="61"/>
  <c r="F51" i="61"/>
  <c r="F42" i="61"/>
  <c r="F39" i="61"/>
  <c r="F31" i="61"/>
  <c r="F27" i="61"/>
  <c r="F18" i="61"/>
  <c r="F14" i="61"/>
  <c r="X18" i="61"/>
  <c r="Z18" i="61" s="1"/>
  <c r="N40" i="61"/>
  <c r="L44" i="61"/>
  <c r="N44" i="61" s="1"/>
  <c r="N31" i="62"/>
  <c r="R65" i="58"/>
  <c r="R61" i="58"/>
  <c r="R33" i="58"/>
  <c r="R29" i="58"/>
  <c r="R21" i="58"/>
  <c r="R18" i="58"/>
  <c r="R14" i="58"/>
  <c r="R68" i="58"/>
  <c r="R64" i="58"/>
  <c r="R57" i="58"/>
  <c r="R80" i="58"/>
  <c r="R74" i="58"/>
  <c r="R63" i="58"/>
  <c r="R60" i="58"/>
  <c r="R39" i="58"/>
  <c r="R31" i="58"/>
  <c r="R27" i="58"/>
  <c r="R62" i="58"/>
  <c r="R78" i="58"/>
  <c r="R72" i="58"/>
  <c r="R69" i="58"/>
  <c r="R83" i="58"/>
  <c r="R76" i="58"/>
  <c r="R59" i="58"/>
  <c r="R55" i="58"/>
  <c r="R35" i="58"/>
  <c r="N16" i="58"/>
  <c r="F26" i="58"/>
  <c r="R30" i="58"/>
  <c r="F41" i="58"/>
  <c r="L43" i="58"/>
  <c r="N43" i="58" s="1"/>
  <c r="J47" i="58"/>
  <c r="F49" i="58"/>
  <c r="F54" i="58"/>
  <c r="R56" i="58"/>
  <c r="F58" i="58"/>
  <c r="R70" i="58"/>
  <c r="T16" i="59"/>
  <c r="Z14" i="59"/>
  <c r="X14" i="59"/>
  <c r="T16" i="61"/>
  <c r="Z14" i="61"/>
  <c r="X14" i="61"/>
  <c r="F26" i="61"/>
  <c r="N62" i="62"/>
  <c r="V46" i="58"/>
  <c r="V54" i="58"/>
  <c r="V58" i="58"/>
  <c r="V66" i="58"/>
  <c r="R23" i="59"/>
  <c r="J26" i="59"/>
  <c r="J30" i="59"/>
  <c r="R35" i="59"/>
  <c r="J38" i="59"/>
  <c r="R40" i="59"/>
  <c r="V42" i="59"/>
  <c r="R43" i="59"/>
  <c r="V46" i="59"/>
  <c r="V50" i="59"/>
  <c r="R51" i="59"/>
  <c r="J52" i="59"/>
  <c r="R56" i="59"/>
  <c r="J58" i="59"/>
  <c r="V62" i="59"/>
  <c r="V66" i="59"/>
  <c r="V68" i="59"/>
  <c r="V73" i="59"/>
  <c r="R16" i="60"/>
  <c r="F21" i="60"/>
  <c r="V24" i="60"/>
  <c r="R25" i="60"/>
  <c r="F33" i="60"/>
  <c r="V36" i="60"/>
  <c r="R37" i="60"/>
  <c r="F40" i="60"/>
  <c r="V40" i="60"/>
  <c r="R41" i="60"/>
  <c r="J42" i="60"/>
  <c r="F45" i="60"/>
  <c r="J48" i="60"/>
  <c r="J52" i="60"/>
  <c r="J56" i="60"/>
  <c r="R58" i="60"/>
  <c r="J62" i="60"/>
  <c r="R65" i="60"/>
  <c r="R23" i="61"/>
  <c r="J26" i="61"/>
  <c r="J30" i="61"/>
  <c r="R35" i="61"/>
  <c r="J38" i="61"/>
  <c r="R40" i="61"/>
  <c r="V42" i="61"/>
  <c r="R43" i="61"/>
  <c r="J44" i="61"/>
  <c r="V46" i="61"/>
  <c r="J50" i="61"/>
  <c r="R52" i="61"/>
  <c r="F103" i="62"/>
  <c r="F98" i="62"/>
  <c r="F85" i="62"/>
  <c r="F80" i="62"/>
  <c r="F77" i="62"/>
  <c r="F73" i="62"/>
  <c r="F69" i="62"/>
  <c r="F64" i="62"/>
  <c r="F61" i="62"/>
  <c r="F56" i="62"/>
  <c r="F94" i="62"/>
  <c r="F83" i="62"/>
  <c r="F79" i="62"/>
  <c r="F108" i="62"/>
  <c r="F101" i="62"/>
  <c r="F90" i="62"/>
  <c r="F82" i="62"/>
  <c r="F93" i="62"/>
  <c r="F81" i="62"/>
  <c r="F68" i="62"/>
  <c r="F65" i="62"/>
  <c r="F99" i="62"/>
  <c r="F97" i="62"/>
  <c r="F92" i="62"/>
  <c r="F87" i="62"/>
  <c r="F75" i="62"/>
  <c r="J17" i="62"/>
  <c r="V21" i="62"/>
  <c r="J25" i="62"/>
  <c r="F26" i="62"/>
  <c r="V29" i="62"/>
  <c r="J31" i="62"/>
  <c r="V33" i="62"/>
  <c r="J37" i="62"/>
  <c r="F38" i="62"/>
  <c r="V41" i="62"/>
  <c r="J45" i="62"/>
  <c r="V49" i="62"/>
  <c r="R50" i="62"/>
  <c r="J51" i="62"/>
  <c r="V53" i="62"/>
  <c r="F55" i="62"/>
  <c r="R58" i="62"/>
  <c r="R59" i="62"/>
  <c r="J60" i="62"/>
  <c r="F67" i="62"/>
  <c r="F74" i="62"/>
  <c r="N80" i="62"/>
  <c r="X87" i="62"/>
  <c r="Z87" i="62" s="1"/>
  <c r="V91" i="62"/>
  <c r="Z97" i="62"/>
  <c r="R105" i="62"/>
  <c r="P88" i="63"/>
  <c r="N68" i="65"/>
  <c r="P16" i="59"/>
  <c r="R24" i="59"/>
  <c r="R29" i="59"/>
  <c r="R36" i="59"/>
  <c r="R44" i="59"/>
  <c r="J55" i="59"/>
  <c r="R60" i="59"/>
  <c r="J61" i="59"/>
  <c r="R19" i="60"/>
  <c r="R26" i="60"/>
  <c r="F29" i="60"/>
  <c r="R30" i="60"/>
  <c r="F34" i="60"/>
  <c r="V37" i="60"/>
  <c r="R38" i="60"/>
  <c r="V41" i="60"/>
  <c r="F46" i="60"/>
  <c r="R47" i="60"/>
  <c r="F49" i="60"/>
  <c r="V49" i="60"/>
  <c r="R50" i="60"/>
  <c r="F53" i="60"/>
  <c r="V53" i="60"/>
  <c r="R54" i="60"/>
  <c r="D58" i="60"/>
  <c r="T58" i="60"/>
  <c r="R60" i="60"/>
  <c r="P16" i="61"/>
  <c r="R24" i="61"/>
  <c r="R29" i="61"/>
  <c r="R36" i="61"/>
  <c r="R49" i="61"/>
  <c r="J51" i="61"/>
  <c r="J55" i="61"/>
  <c r="R57" i="61"/>
  <c r="J61" i="61"/>
  <c r="R64" i="61"/>
  <c r="J94" i="62"/>
  <c r="J88" i="62"/>
  <c r="J84" i="62"/>
  <c r="J76" i="62"/>
  <c r="J72" i="62"/>
  <c r="J66" i="62"/>
  <c r="J58" i="62"/>
  <c r="J90" i="62"/>
  <c r="J82" i="62"/>
  <c r="J97" i="62"/>
  <c r="J93" i="62"/>
  <c r="J87" i="62"/>
  <c r="J81" i="62"/>
  <c r="J75" i="62"/>
  <c r="J65" i="62"/>
  <c r="J57" i="62"/>
  <c r="J99" i="62"/>
  <c r="J92" i="62"/>
  <c r="J78" i="62"/>
  <c r="J70" i="62"/>
  <c r="J62" i="62"/>
  <c r="J105" i="62"/>
  <c r="J95" i="62"/>
  <c r="J89" i="62"/>
  <c r="J67" i="62"/>
  <c r="J20" i="62"/>
  <c r="V22" i="62"/>
  <c r="J26" i="62"/>
  <c r="F27" i="62"/>
  <c r="V30" i="62"/>
  <c r="V34" i="62"/>
  <c r="J38" i="62"/>
  <c r="F39" i="62"/>
  <c r="F43" i="62"/>
  <c r="F46" i="62"/>
  <c r="V46" i="62"/>
  <c r="R47" i="62"/>
  <c r="J48" i="62"/>
  <c r="V50" i="62"/>
  <c r="J55" i="62"/>
  <c r="V59" i="62"/>
  <c r="J69" i="62"/>
  <c r="J74" i="62"/>
  <c r="J79" i="62"/>
  <c r="J80" i="62"/>
  <c r="V81" i="62"/>
  <c r="F84" i="62"/>
  <c r="F89" i="62"/>
  <c r="V95" i="62"/>
  <c r="J103" i="62"/>
  <c r="V105" i="62"/>
  <c r="D12" i="63"/>
  <c r="Z62" i="63"/>
  <c r="X62" i="63"/>
  <c r="N64" i="63"/>
  <c r="L64" i="63"/>
  <c r="Z74" i="63"/>
  <c r="X74" i="63"/>
  <c r="F39" i="64"/>
  <c r="F33" i="64"/>
  <c r="F27" i="64"/>
  <c r="F24" i="64"/>
  <c r="F19" i="64"/>
  <c r="F30" i="64"/>
  <c r="F16" i="64"/>
  <c r="F44" i="64"/>
  <c r="F37" i="64"/>
  <c r="F26" i="64"/>
  <c r="F21" i="64"/>
  <c r="D16" i="64"/>
  <c r="F32" i="64"/>
  <c r="F29" i="64"/>
  <c r="F28" i="64"/>
  <c r="F23" i="64"/>
  <c r="F20" i="64"/>
  <c r="L12" i="64"/>
  <c r="F31" i="64"/>
  <c r="F18" i="64"/>
  <c r="F14" i="64"/>
  <c r="F22" i="64"/>
  <c r="F41" i="64"/>
  <c r="V72" i="58"/>
  <c r="V76" i="58"/>
  <c r="V78" i="58"/>
  <c r="V83" i="58"/>
  <c r="R16" i="59"/>
  <c r="R25" i="59"/>
  <c r="R37" i="59"/>
  <c r="R41" i="59"/>
  <c r="J42" i="59"/>
  <c r="J48" i="59"/>
  <c r="R54" i="59"/>
  <c r="R57" i="59"/>
  <c r="R64" i="59"/>
  <c r="J66" i="59"/>
  <c r="R70" i="59"/>
  <c r="J73" i="59"/>
  <c r="F16" i="60"/>
  <c r="V16" i="60"/>
  <c r="F23" i="60"/>
  <c r="V26" i="60"/>
  <c r="R27" i="60"/>
  <c r="V30" i="60"/>
  <c r="R31" i="60"/>
  <c r="F35" i="60"/>
  <c r="V38" i="60"/>
  <c r="R39" i="60"/>
  <c r="F43" i="60"/>
  <c r="R44" i="60"/>
  <c r="V50" i="60"/>
  <c r="R51" i="60"/>
  <c r="V54" i="60"/>
  <c r="F58" i="60"/>
  <c r="V58" i="60"/>
  <c r="V60" i="60"/>
  <c r="F65" i="60"/>
  <c r="V65" i="60"/>
  <c r="R16" i="61"/>
  <c r="R25" i="61"/>
  <c r="R37" i="61"/>
  <c r="R41" i="61"/>
  <c r="J42" i="61"/>
  <c r="J48" i="61"/>
  <c r="R53" i="61"/>
  <c r="R59" i="61"/>
  <c r="L12" i="62"/>
  <c r="J27" i="62"/>
  <c r="V35" i="62"/>
  <c r="J39" i="62"/>
  <c r="J43" i="62"/>
  <c r="V47" i="62"/>
  <c r="F52" i="62"/>
  <c r="J56" i="62"/>
  <c r="V58" i="62"/>
  <c r="Z62" i="62"/>
  <c r="V65" i="62"/>
  <c r="J68" i="62"/>
  <c r="R71" i="62"/>
  <c r="J83" i="62"/>
  <c r="F88" i="62"/>
  <c r="N89" i="62"/>
  <c r="L89" i="62"/>
  <c r="F91" i="62"/>
  <c r="N32" i="63"/>
  <c r="L32" i="63"/>
  <c r="X18" i="64"/>
  <c r="Z18" i="64" s="1"/>
  <c r="R19" i="59"/>
  <c r="R26" i="59"/>
  <c r="R30" i="59"/>
  <c r="R38" i="59"/>
  <c r="R47" i="59"/>
  <c r="R58" i="59"/>
  <c r="R20" i="60"/>
  <c r="R28" i="60"/>
  <c r="R32" i="60"/>
  <c r="F36" i="60"/>
  <c r="V39" i="60"/>
  <c r="F47" i="60"/>
  <c r="V47" i="60"/>
  <c r="R48" i="60"/>
  <c r="V51" i="60"/>
  <c r="R52" i="60"/>
  <c r="R19" i="61"/>
  <c r="R26" i="61"/>
  <c r="R30" i="61"/>
  <c r="R38" i="61"/>
  <c r="R47" i="61"/>
  <c r="R50" i="61"/>
  <c r="V24" i="62"/>
  <c r="J28" i="62"/>
  <c r="J32" i="62"/>
  <c r="F33" i="62"/>
  <c r="V36" i="62"/>
  <c r="J40" i="62"/>
  <c r="F41" i="62"/>
  <c r="F44" i="62"/>
  <c r="V44" i="62"/>
  <c r="J46" i="62"/>
  <c r="F49" i="62"/>
  <c r="J52" i="62"/>
  <c r="F53" i="62"/>
  <c r="F57" i="62"/>
  <c r="F58" i="62"/>
  <c r="R60" i="62"/>
  <c r="V62" i="62"/>
  <c r="V63" i="62"/>
  <c r="R64" i="62"/>
  <c r="R67" i="62"/>
  <c r="Z70" i="62"/>
  <c r="J73" i="62"/>
  <c r="F78" i="62"/>
  <c r="V93" i="62"/>
  <c r="J98" i="62"/>
  <c r="V99" i="62"/>
  <c r="J108" i="62"/>
  <c r="N82" i="63"/>
  <c r="L82" i="63"/>
  <c r="Z14" i="64"/>
  <c r="X14" i="64"/>
  <c r="V16" i="58"/>
  <c r="V26" i="58"/>
  <c r="V30" i="58"/>
  <c r="V38" i="58"/>
  <c r="V42" i="58"/>
  <c r="V50" i="58"/>
  <c r="V62" i="58"/>
  <c r="V70" i="58"/>
  <c r="N14" i="59"/>
  <c r="V16" i="59"/>
  <c r="J22" i="59"/>
  <c r="V26" i="59"/>
  <c r="R27" i="59"/>
  <c r="V30" i="59"/>
  <c r="R31" i="59"/>
  <c r="J34" i="59"/>
  <c r="V38" i="59"/>
  <c r="R39" i="59"/>
  <c r="J40" i="59"/>
  <c r="J46" i="59"/>
  <c r="J50" i="59"/>
  <c r="R52" i="59"/>
  <c r="V54" i="59"/>
  <c r="R55" i="59"/>
  <c r="J56" i="59"/>
  <c r="V58" i="59"/>
  <c r="J62" i="59"/>
  <c r="V64" i="59"/>
  <c r="J68" i="59"/>
  <c r="V70" i="59"/>
  <c r="Z12" i="60"/>
  <c r="R14" i="60"/>
  <c r="J16" i="60"/>
  <c r="R18" i="60"/>
  <c r="V20" i="60"/>
  <c r="R21" i="60"/>
  <c r="J24" i="60"/>
  <c r="F25" i="60"/>
  <c r="V28" i="60"/>
  <c r="V32" i="60"/>
  <c r="R33" i="60"/>
  <c r="J36" i="60"/>
  <c r="F37" i="60"/>
  <c r="F41" i="60"/>
  <c r="R42" i="60"/>
  <c r="F44" i="60"/>
  <c r="V44" i="60"/>
  <c r="R45" i="60"/>
  <c r="V48" i="60"/>
  <c r="V52" i="60"/>
  <c r="R56" i="60"/>
  <c r="J58" i="60"/>
  <c r="R62" i="60"/>
  <c r="J65" i="60"/>
  <c r="N14" i="61"/>
  <c r="V16" i="61"/>
  <c r="J22" i="61"/>
  <c r="V26" i="61"/>
  <c r="R27" i="61"/>
  <c r="V30" i="61"/>
  <c r="R31" i="61"/>
  <c r="J34" i="61"/>
  <c r="V38" i="61"/>
  <c r="R39" i="61"/>
  <c r="J40" i="61"/>
  <c r="R44" i="61"/>
  <c r="J46" i="61"/>
  <c r="V50" i="61"/>
  <c r="R51" i="61"/>
  <c r="J52" i="61"/>
  <c r="R99" i="62"/>
  <c r="R93" i="62"/>
  <c r="R81" i="62"/>
  <c r="R78" i="62"/>
  <c r="R70" i="62"/>
  <c r="R65" i="62"/>
  <c r="R62" i="62"/>
  <c r="R57" i="62"/>
  <c r="R54" i="62"/>
  <c r="R95" i="62"/>
  <c r="R80" i="62"/>
  <c r="R98" i="62"/>
  <c r="R91" i="62"/>
  <c r="R86" i="62"/>
  <c r="R74" i="62"/>
  <c r="R103" i="62"/>
  <c r="R94" i="62"/>
  <c r="R85" i="62"/>
  <c r="R77" i="62"/>
  <c r="R73" i="62"/>
  <c r="R69" i="62"/>
  <c r="R66" i="62"/>
  <c r="R61" i="62"/>
  <c r="R108" i="62"/>
  <c r="R101" i="62"/>
  <c r="R88" i="62"/>
  <c r="R84" i="62"/>
  <c r="R76" i="62"/>
  <c r="R72" i="62"/>
  <c r="R17" i="62"/>
  <c r="J19" i="62"/>
  <c r="J21" i="62"/>
  <c r="F22" i="62"/>
  <c r="V25" i="62"/>
  <c r="R26" i="62"/>
  <c r="J29" i="62"/>
  <c r="F30" i="62"/>
  <c r="R31" i="62"/>
  <c r="J33" i="62"/>
  <c r="F34" i="62"/>
  <c r="V37" i="62"/>
  <c r="R38" i="62"/>
  <c r="J41" i="62"/>
  <c r="V45" i="62"/>
  <c r="J49" i="62"/>
  <c r="F50" i="62"/>
  <c r="R51" i="62"/>
  <c r="J53" i="62"/>
  <c r="V54" i="62"/>
  <c r="R55" i="62"/>
  <c r="V66" i="62"/>
  <c r="V67" i="62"/>
  <c r="Z75" i="62"/>
  <c r="X75" i="62"/>
  <c r="J77" i="62"/>
  <c r="R79" i="62"/>
  <c r="X80" i="62"/>
  <c r="Z80" i="62" s="1"/>
  <c r="R89" i="62"/>
  <c r="R90" i="62"/>
  <c r="J91" i="62"/>
  <c r="D97" i="62"/>
  <c r="L97" i="62" s="1"/>
  <c r="N97" i="62" s="1"/>
  <c r="V82" i="63"/>
  <c r="V64" i="63"/>
  <c r="V56" i="63"/>
  <c r="V48" i="63"/>
  <c r="V67" i="63"/>
  <c r="V55" i="63"/>
  <c r="V47" i="63"/>
  <c r="V35" i="63"/>
  <c r="V27" i="63"/>
  <c r="V19" i="63"/>
  <c r="V78" i="63"/>
  <c r="V70" i="63"/>
  <c r="V66" i="63"/>
  <c r="V58" i="63"/>
  <c r="V46" i="63"/>
  <c r="V77" i="63"/>
  <c r="V73" i="63"/>
  <c r="V69" i="63"/>
  <c r="V61" i="63"/>
  <c r="V57" i="63"/>
  <c r="V45" i="63"/>
  <c r="V41" i="63"/>
  <c r="V33" i="63"/>
  <c r="V25" i="63"/>
  <c r="V86" i="63"/>
  <c r="V80" i="63"/>
  <c r="V76" i="63"/>
  <c r="V72" i="63"/>
  <c r="V68" i="63"/>
  <c r="V60" i="63"/>
  <c r="V52" i="63"/>
  <c r="V44" i="63"/>
  <c r="V40" i="63"/>
  <c r="V30" i="63"/>
  <c r="V24" i="63"/>
  <c r="V79" i="63"/>
  <c r="V75" i="63"/>
  <c r="V71" i="63"/>
  <c r="V63" i="63"/>
  <c r="V59" i="63"/>
  <c r="V51" i="63"/>
  <c r="V43" i="63"/>
  <c r="V39" i="63"/>
  <c r="T30" i="63"/>
  <c r="V23" i="63"/>
  <c r="V74" i="63"/>
  <c r="V62" i="63"/>
  <c r="V54" i="63"/>
  <c r="V50" i="63"/>
  <c r="V42" i="63"/>
  <c r="V38" i="63"/>
  <c r="V22" i="63"/>
  <c r="V21" i="63"/>
  <c r="N60" i="65"/>
  <c r="X12" i="59"/>
  <c r="R20" i="59"/>
  <c r="R28" i="59"/>
  <c r="R32" i="59"/>
  <c r="J43" i="59"/>
  <c r="R45" i="59"/>
  <c r="R48" i="59"/>
  <c r="J51" i="59"/>
  <c r="R61" i="59"/>
  <c r="V21" i="60"/>
  <c r="R22" i="60"/>
  <c r="F26" i="60"/>
  <c r="F30" i="60"/>
  <c r="V33" i="60"/>
  <c r="R34" i="60"/>
  <c r="F38" i="60"/>
  <c r="V45" i="60"/>
  <c r="R46" i="60"/>
  <c r="F50" i="60"/>
  <c r="F54" i="60"/>
  <c r="F60" i="60"/>
  <c r="X12" i="61"/>
  <c r="R20" i="61"/>
  <c r="R28" i="61"/>
  <c r="J29" i="61"/>
  <c r="R32" i="61"/>
  <c r="J35" i="61"/>
  <c r="J43" i="61"/>
  <c r="R48" i="61"/>
  <c r="J49" i="61"/>
  <c r="R55" i="61"/>
  <c r="J57" i="61"/>
  <c r="R61" i="61"/>
  <c r="J64" i="61"/>
  <c r="V92" i="62"/>
  <c r="V80" i="62"/>
  <c r="V64" i="62"/>
  <c r="V56" i="62"/>
  <c r="V98" i="62"/>
  <c r="V94" i="62"/>
  <c r="V86" i="62"/>
  <c r="V74" i="62"/>
  <c r="V108" i="62"/>
  <c r="V103" i="62"/>
  <c r="V101" i="62"/>
  <c r="V85" i="62"/>
  <c r="V77" i="62"/>
  <c r="V73" i="62"/>
  <c r="V69" i="62"/>
  <c r="V61" i="62"/>
  <c r="V88" i="62"/>
  <c r="V84" i="62"/>
  <c r="V76" i="62"/>
  <c r="V72" i="62"/>
  <c r="V68" i="62"/>
  <c r="V60" i="62"/>
  <c r="V97" i="62"/>
  <c r="V87" i="62"/>
  <c r="V83" i="62"/>
  <c r="V79" i="62"/>
  <c r="V75" i="62"/>
  <c r="V71" i="62"/>
  <c r="T17" i="62"/>
  <c r="J22" i="62"/>
  <c r="V26" i="62"/>
  <c r="J30" i="62"/>
  <c r="J34" i="62"/>
  <c r="F35" i="62"/>
  <c r="V38" i="62"/>
  <c r="F42" i="62"/>
  <c r="V42" i="62"/>
  <c r="J44" i="62"/>
  <c r="F47" i="62"/>
  <c r="J50" i="62"/>
  <c r="F54" i="62"/>
  <c r="V55" i="62"/>
  <c r="F59" i="62"/>
  <c r="L62" i="62"/>
  <c r="R68" i="62"/>
  <c r="F72" i="62"/>
  <c r="R82" i="62"/>
  <c r="R83" i="62"/>
  <c r="F86" i="62"/>
  <c r="V90" i="62"/>
  <c r="R92" i="62"/>
  <c r="P97" i="62"/>
  <c r="X97" i="62" s="1"/>
  <c r="J101" i="62"/>
  <c r="T89" i="65"/>
  <c r="X31" i="65"/>
  <c r="Z31" i="65" s="1"/>
  <c r="H110" i="67"/>
  <c r="J40" i="67"/>
  <c r="Z12" i="58"/>
  <c r="V20" i="58"/>
  <c r="V28" i="58"/>
  <c r="V32" i="58"/>
  <c r="V40" i="58"/>
  <c r="V48" i="58"/>
  <c r="V60" i="58"/>
  <c r="V64" i="58"/>
  <c r="V68" i="58"/>
  <c r="V74" i="58"/>
  <c r="Z12" i="59"/>
  <c r="R14" i="59"/>
  <c r="J16" i="59"/>
  <c r="R18" i="59"/>
  <c r="V20" i="59"/>
  <c r="R21" i="59"/>
  <c r="J24" i="59"/>
  <c r="V28" i="59"/>
  <c r="V32" i="59"/>
  <c r="R33" i="59"/>
  <c r="J36" i="59"/>
  <c r="R42" i="59"/>
  <c r="J44" i="59"/>
  <c r="V48" i="59"/>
  <c r="R49" i="59"/>
  <c r="R53" i="59"/>
  <c r="J54" i="59"/>
  <c r="J60" i="59"/>
  <c r="J64" i="59"/>
  <c r="R66" i="59"/>
  <c r="F14" i="60"/>
  <c r="V14" i="60"/>
  <c r="F18" i="60"/>
  <c r="V18" i="60"/>
  <c r="V22" i="60"/>
  <c r="R23" i="60"/>
  <c r="J26" i="60"/>
  <c r="F27" i="60"/>
  <c r="J30" i="60"/>
  <c r="F31" i="60"/>
  <c r="V34" i="60"/>
  <c r="R35" i="60"/>
  <c r="J38" i="60"/>
  <c r="F39" i="60"/>
  <c r="R40" i="60"/>
  <c r="F42" i="60"/>
  <c r="V42" i="60"/>
  <c r="J44" i="60"/>
  <c r="V46" i="60"/>
  <c r="J50" i="60"/>
  <c r="F51" i="60"/>
  <c r="J54" i="60"/>
  <c r="F56" i="60"/>
  <c r="V56" i="60"/>
  <c r="Z12" i="61"/>
  <c r="R14" i="61"/>
  <c r="J16" i="61"/>
  <c r="R18" i="61"/>
  <c r="V20" i="61"/>
  <c r="R21" i="61"/>
  <c r="J24" i="61"/>
  <c r="V28" i="61"/>
  <c r="V32" i="61"/>
  <c r="R33" i="61"/>
  <c r="R42" i="61"/>
  <c r="V44" i="61"/>
  <c r="X12" i="62"/>
  <c r="J15" i="62"/>
  <c r="F17" i="62"/>
  <c r="V17" i="62"/>
  <c r="J23" i="62"/>
  <c r="F24" i="62"/>
  <c r="V27" i="62"/>
  <c r="R28" i="62"/>
  <c r="F31" i="62"/>
  <c r="V31" i="62"/>
  <c r="R32" i="62"/>
  <c r="J35" i="62"/>
  <c r="F36" i="62"/>
  <c r="V39" i="62"/>
  <c r="R40" i="62"/>
  <c r="V43" i="62"/>
  <c r="J47" i="62"/>
  <c r="F51" i="62"/>
  <c r="V51" i="62"/>
  <c r="R52" i="62"/>
  <c r="R56" i="62"/>
  <c r="V57" i="62"/>
  <c r="J59" i="62"/>
  <c r="F60" i="62"/>
  <c r="F62" i="62"/>
  <c r="F63" i="62"/>
  <c r="F66" i="62"/>
  <c r="F71" i="62"/>
  <c r="F76" i="62"/>
  <c r="Z78" i="62"/>
  <c r="V82" i="62"/>
  <c r="J86" i="62"/>
  <c r="V89" i="62"/>
  <c r="F105" i="62"/>
  <c r="X30" i="63"/>
  <c r="V32" i="63"/>
  <c r="Z42" i="63"/>
  <c r="X42" i="63"/>
  <c r="V53" i="63"/>
  <c r="F25" i="64"/>
  <c r="L15" i="65"/>
  <c r="D12" i="65"/>
  <c r="Z66" i="65"/>
  <c r="R23" i="63"/>
  <c r="J26" i="63"/>
  <c r="R30" i="63"/>
  <c r="J32" i="63"/>
  <c r="J34" i="63"/>
  <c r="R39" i="63"/>
  <c r="R43" i="63"/>
  <c r="J46" i="63"/>
  <c r="R51" i="63"/>
  <c r="J58" i="63"/>
  <c r="R63" i="63"/>
  <c r="J64" i="63"/>
  <c r="R68" i="63"/>
  <c r="J70" i="63"/>
  <c r="R75" i="63"/>
  <c r="J78" i="63"/>
  <c r="J82" i="63"/>
  <c r="R84" i="63"/>
  <c r="V14" i="64"/>
  <c r="V18" i="64"/>
  <c r="J22" i="64"/>
  <c r="V26" i="64"/>
  <c r="R32" i="64"/>
  <c r="R24" i="65"/>
  <c r="J27" i="65"/>
  <c r="R31" i="65"/>
  <c r="J33" i="65"/>
  <c r="J35" i="65"/>
  <c r="V39" i="65"/>
  <c r="R40" i="65"/>
  <c r="J43" i="65"/>
  <c r="R45" i="65"/>
  <c r="J47" i="65"/>
  <c r="V51" i="65"/>
  <c r="R52" i="65"/>
  <c r="J55" i="65"/>
  <c r="V59" i="65"/>
  <c r="J63" i="65"/>
  <c r="V67" i="65"/>
  <c r="V71" i="65"/>
  <c r="J75" i="65"/>
  <c r="R77" i="65"/>
  <c r="J80" i="65"/>
  <c r="J83" i="65"/>
  <c r="J84" i="65"/>
  <c r="F25" i="67"/>
  <c r="F36" i="67"/>
  <c r="J19" i="63"/>
  <c r="R24" i="63"/>
  <c r="J27" i="63"/>
  <c r="R33" i="63"/>
  <c r="J35" i="63"/>
  <c r="R40" i="63"/>
  <c r="R44" i="63"/>
  <c r="J47" i="63"/>
  <c r="R52" i="63"/>
  <c r="J53" i="63"/>
  <c r="R57" i="63"/>
  <c r="R60" i="63"/>
  <c r="J67" i="63"/>
  <c r="R72" i="63"/>
  <c r="R76" i="63"/>
  <c r="R80" i="63"/>
  <c r="R86" i="63"/>
  <c r="P16" i="64"/>
  <c r="R21" i="64"/>
  <c r="V23" i="64"/>
  <c r="R24" i="64"/>
  <c r="J25" i="64"/>
  <c r="J31" i="64"/>
  <c r="J35" i="64"/>
  <c r="R37" i="64"/>
  <c r="J41" i="64"/>
  <c r="R44" i="64"/>
  <c r="J81" i="65"/>
  <c r="J87" i="65"/>
  <c r="J91" i="65"/>
  <c r="J86" i="65"/>
  <c r="J20" i="65"/>
  <c r="R25" i="65"/>
  <c r="J28" i="65"/>
  <c r="R34" i="65"/>
  <c r="J36" i="65"/>
  <c r="V40" i="65"/>
  <c r="R41" i="65"/>
  <c r="J44" i="65"/>
  <c r="J48" i="65"/>
  <c r="V52" i="65"/>
  <c r="R53" i="65"/>
  <c r="V56" i="65"/>
  <c r="R57" i="65"/>
  <c r="J58" i="65"/>
  <c r="R62" i="65"/>
  <c r="V64" i="65"/>
  <c r="R65" i="65"/>
  <c r="J66" i="65"/>
  <c r="R74" i="65"/>
  <c r="J76" i="65"/>
  <c r="R79" i="65"/>
  <c r="F106" i="67"/>
  <c r="F100" i="67"/>
  <c r="F92" i="67"/>
  <c r="F88" i="67"/>
  <c r="F95" i="67"/>
  <c r="F84" i="67"/>
  <c r="F108" i="67"/>
  <c r="F102" i="67"/>
  <c r="F99" i="67"/>
  <c r="F91" i="67"/>
  <c r="F87" i="67"/>
  <c r="F75" i="67"/>
  <c r="F70" i="67"/>
  <c r="F67" i="67"/>
  <c r="F59" i="67"/>
  <c r="F47" i="67"/>
  <c r="F31" i="67"/>
  <c r="F98" i="67"/>
  <c r="F94" i="67"/>
  <c r="F90" i="67"/>
  <c r="F86" i="67"/>
  <c r="F81" i="67"/>
  <c r="F78" i="67"/>
  <c r="F58" i="67"/>
  <c r="F53" i="67"/>
  <c r="F46" i="67"/>
  <c r="D40" i="67"/>
  <c r="F38" i="67"/>
  <c r="F30" i="67"/>
  <c r="F101" i="67"/>
  <c r="F112" i="67"/>
  <c r="F107" i="67"/>
  <c r="F73" i="67"/>
  <c r="F68" i="67"/>
  <c r="F79" i="67"/>
  <c r="F77" i="67"/>
  <c r="F72" i="67"/>
  <c r="F89" i="67"/>
  <c r="F71" i="67"/>
  <c r="F24" i="67"/>
  <c r="F19" i="67"/>
  <c r="F103" i="67"/>
  <c r="F93" i="67"/>
  <c r="F66" i="67"/>
  <c r="F54" i="67"/>
  <c r="F50" i="67"/>
  <c r="F49" i="67"/>
  <c r="F48" i="67"/>
  <c r="F23" i="67"/>
  <c r="F96" i="67"/>
  <c r="F85" i="67"/>
  <c r="F83" i="67"/>
  <c r="F82" i="67"/>
  <c r="F76" i="67"/>
  <c r="F65" i="67"/>
  <c r="F57" i="67"/>
  <c r="F55" i="67"/>
  <c r="F51" i="67"/>
  <c r="F43" i="67"/>
  <c r="F22" i="67"/>
  <c r="L12" i="67"/>
  <c r="F105" i="67"/>
  <c r="F97" i="67"/>
  <c r="F69" i="67"/>
  <c r="F64" i="67"/>
  <c r="F62" i="67"/>
  <c r="F61" i="67"/>
  <c r="F60" i="67"/>
  <c r="F56" i="67"/>
  <c r="F52" i="67"/>
  <c r="F21" i="67"/>
  <c r="F80" i="67"/>
  <c r="F63" i="67"/>
  <c r="F37" i="67"/>
  <c r="F34" i="67"/>
  <c r="F33" i="67"/>
  <c r="F29" i="67"/>
  <c r="F20" i="67"/>
  <c r="R18" i="63"/>
  <c r="J20" i="63"/>
  <c r="R25" i="63"/>
  <c r="J28" i="63"/>
  <c r="J36" i="63"/>
  <c r="R41" i="63"/>
  <c r="J42" i="63"/>
  <c r="R45" i="63"/>
  <c r="J48" i="63"/>
  <c r="J56" i="63"/>
  <c r="R61" i="63"/>
  <c r="J62" i="63"/>
  <c r="R66" i="63"/>
  <c r="R69" i="63"/>
  <c r="R73" i="63"/>
  <c r="J74" i="63"/>
  <c r="R77" i="63"/>
  <c r="N12" i="64"/>
  <c r="J14" i="64"/>
  <c r="R16" i="64"/>
  <c r="J18" i="64"/>
  <c r="J20" i="64"/>
  <c r="V24" i="64"/>
  <c r="J28" i="64"/>
  <c r="R30" i="64"/>
  <c r="V32" i="64"/>
  <c r="R33" i="64"/>
  <c r="R39" i="64"/>
  <c r="R19" i="65"/>
  <c r="J21" i="65"/>
  <c r="V25" i="65"/>
  <c r="R26" i="65"/>
  <c r="J29" i="65"/>
  <c r="V31" i="65"/>
  <c r="J37" i="65"/>
  <c r="V41" i="65"/>
  <c r="R42" i="65"/>
  <c r="V45" i="65"/>
  <c r="R46" i="65"/>
  <c r="J49" i="65"/>
  <c r="V53" i="65"/>
  <c r="R54" i="65"/>
  <c r="V57" i="65"/>
  <c r="J61" i="65"/>
  <c r="V65" i="65"/>
  <c r="J69" i="65"/>
  <c r="J73" i="65"/>
  <c r="V77" i="65"/>
  <c r="V78" i="65"/>
  <c r="V79" i="65"/>
  <c r="P83" i="65"/>
  <c r="X83" i="65" s="1"/>
  <c r="Z83" i="65" s="1"/>
  <c r="X84" i="65"/>
  <c r="Z84" i="65" s="1"/>
  <c r="V86" i="65"/>
  <c r="R87" i="65"/>
  <c r="L19" i="67"/>
  <c r="N19" i="67" s="1"/>
  <c r="F32" i="67"/>
  <c r="F35" i="67"/>
  <c r="F44" i="67"/>
  <c r="J21" i="63"/>
  <c r="R26" i="63"/>
  <c r="H30" i="63"/>
  <c r="R34" i="63"/>
  <c r="J37" i="63"/>
  <c r="R46" i="63"/>
  <c r="J49" i="63"/>
  <c r="R55" i="63"/>
  <c r="R58" i="63"/>
  <c r="J59" i="63"/>
  <c r="J65" i="63"/>
  <c r="R70" i="63"/>
  <c r="J71" i="63"/>
  <c r="R78" i="63"/>
  <c r="J79" i="63"/>
  <c r="T16" i="64"/>
  <c r="R19" i="64"/>
  <c r="V21" i="64"/>
  <c r="R22" i="64"/>
  <c r="J23" i="64"/>
  <c r="R27" i="64"/>
  <c r="J29" i="64"/>
  <c r="V33" i="64"/>
  <c r="V37" i="64"/>
  <c r="V39" i="64"/>
  <c r="V44" i="64"/>
  <c r="J22" i="65"/>
  <c r="R27" i="65"/>
  <c r="H31" i="65"/>
  <c r="V34" i="65"/>
  <c r="R35" i="65"/>
  <c r="J38" i="65"/>
  <c r="V42" i="65"/>
  <c r="R43" i="65"/>
  <c r="V46" i="65"/>
  <c r="R47" i="65"/>
  <c r="J50" i="65"/>
  <c r="V54" i="65"/>
  <c r="R55" i="65"/>
  <c r="J56" i="65"/>
  <c r="R60" i="65"/>
  <c r="V62" i="65"/>
  <c r="R63" i="65"/>
  <c r="J64" i="65"/>
  <c r="R68" i="65"/>
  <c r="J70" i="65"/>
  <c r="R72" i="65"/>
  <c r="V74" i="65"/>
  <c r="R75" i="65"/>
  <c r="F42" i="67"/>
  <c r="R82" i="63"/>
  <c r="R88" i="63"/>
  <c r="V16" i="64"/>
  <c r="V22" i="64"/>
  <c r="V30" i="64"/>
  <c r="R86" i="65"/>
  <c r="R91" i="65"/>
  <c r="R85" i="65"/>
  <c r="R78" i="65"/>
  <c r="R20" i="65"/>
  <c r="R28" i="65"/>
  <c r="R33" i="65"/>
  <c r="R36" i="65"/>
  <c r="R44" i="65"/>
  <c r="R48" i="65"/>
  <c r="R76" i="65"/>
  <c r="J77" i="65"/>
  <c r="R80" i="65"/>
  <c r="R81" i="65"/>
  <c r="Z85" i="67"/>
  <c r="X85" i="67"/>
  <c r="X12" i="63"/>
  <c r="Z12" i="63" s="1"/>
  <c r="R20" i="63"/>
  <c r="J23" i="63"/>
  <c r="R28" i="63"/>
  <c r="J33" i="63"/>
  <c r="R36" i="63"/>
  <c r="J39" i="63"/>
  <c r="J43" i="63"/>
  <c r="R48" i="63"/>
  <c r="J51" i="63"/>
  <c r="R53" i="63"/>
  <c r="J57" i="63"/>
  <c r="J63" i="63"/>
  <c r="J75" i="63"/>
  <c r="X12" i="64"/>
  <c r="H16" i="64"/>
  <c r="V19" i="64"/>
  <c r="R20" i="64"/>
  <c r="J21" i="64"/>
  <c r="R25" i="64"/>
  <c r="V27" i="64"/>
  <c r="R28" i="64"/>
  <c r="V31" i="64"/>
  <c r="R35" i="64"/>
  <c r="J37" i="64"/>
  <c r="V91" i="65"/>
  <c r="V89" i="65"/>
  <c r="V83" i="65"/>
  <c r="V87" i="65"/>
  <c r="V81" i="65"/>
  <c r="V20" i="65"/>
  <c r="R21" i="65"/>
  <c r="J24" i="65"/>
  <c r="V28" i="65"/>
  <c r="R29" i="65"/>
  <c r="J34" i="65"/>
  <c r="V36" i="65"/>
  <c r="R37" i="65"/>
  <c r="J40" i="65"/>
  <c r="V44" i="65"/>
  <c r="V48" i="65"/>
  <c r="R49" i="65"/>
  <c r="J52" i="65"/>
  <c r="R58" i="65"/>
  <c r="V60" i="65"/>
  <c r="R61" i="65"/>
  <c r="J62" i="65"/>
  <c r="R66" i="65"/>
  <c r="V68" i="65"/>
  <c r="R69" i="65"/>
  <c r="V72" i="65"/>
  <c r="R73" i="65"/>
  <c r="J74" i="65"/>
  <c r="V76" i="65"/>
  <c r="V112" i="67"/>
  <c r="V100" i="67"/>
  <c r="V96" i="67"/>
  <c r="V92" i="67"/>
  <c r="V88" i="67"/>
  <c r="V103" i="67"/>
  <c r="V95" i="67"/>
  <c r="V106" i="67"/>
  <c r="V102" i="67"/>
  <c r="V82" i="67"/>
  <c r="V70" i="67"/>
  <c r="V62" i="67"/>
  <c r="V54" i="67"/>
  <c r="V50" i="67"/>
  <c r="V34" i="67"/>
  <c r="V81" i="67"/>
  <c r="V73" i="67"/>
  <c r="V65" i="67"/>
  <c r="V61" i="67"/>
  <c r="V53" i="67"/>
  <c r="V49" i="67"/>
  <c r="T40" i="67"/>
  <c r="V33" i="67"/>
  <c r="V108" i="67"/>
  <c r="V93" i="67"/>
  <c r="V90" i="67"/>
  <c r="V87" i="67"/>
  <c r="V84" i="67"/>
  <c r="V60" i="67"/>
  <c r="V57" i="67"/>
  <c r="V56" i="67"/>
  <c r="V105" i="67"/>
  <c r="V94" i="67"/>
  <c r="V91" i="67"/>
  <c r="V80" i="67"/>
  <c r="V75" i="67"/>
  <c r="V74" i="67"/>
  <c r="V69" i="67"/>
  <c r="V68" i="67"/>
  <c r="V59" i="67"/>
  <c r="V97" i="67"/>
  <c r="V79" i="67"/>
  <c r="V72" i="67"/>
  <c r="V63" i="67"/>
  <c r="V37" i="67"/>
  <c r="V36" i="67"/>
  <c r="V32" i="67"/>
  <c r="V29" i="67"/>
  <c r="V28" i="67"/>
  <c r="V19" i="67"/>
  <c r="V98" i="67"/>
  <c r="V38" i="67"/>
  <c r="V35" i="67"/>
  <c r="V31" i="67"/>
  <c r="V30" i="67"/>
  <c r="V27" i="67"/>
  <c r="V26" i="67"/>
  <c r="V99" i="67"/>
  <c r="V25" i="67"/>
  <c r="V77" i="67"/>
  <c r="V76" i="67"/>
  <c r="V67" i="67"/>
  <c r="V66" i="67"/>
  <c r="V45" i="67"/>
  <c r="V44" i="67"/>
  <c r="V43" i="67"/>
  <c r="V24" i="67"/>
  <c r="V107" i="67"/>
  <c r="V101" i="67"/>
  <c r="V85" i="67"/>
  <c r="V78" i="67"/>
  <c r="V71" i="67"/>
  <c r="V64" i="67"/>
  <c r="V48" i="67"/>
  <c r="V47" i="67"/>
  <c r="V46" i="67"/>
  <c r="V23" i="67"/>
  <c r="V58" i="67"/>
  <c r="R22" i="65"/>
  <c r="R38" i="65"/>
  <c r="R50" i="65"/>
  <c r="R70" i="65"/>
  <c r="D83" i="65"/>
  <c r="L83" i="65" s="1"/>
  <c r="N83" i="65" s="1"/>
  <c r="L86" i="65"/>
  <c r="J27" i="67"/>
  <c r="J28" i="67"/>
  <c r="J32" i="67"/>
  <c r="J35" i="67"/>
  <c r="J36" i="67"/>
  <c r="N42" i="67"/>
  <c r="J68" i="67"/>
  <c r="L79" i="67"/>
  <c r="Z81" i="67"/>
  <c r="D105" i="67"/>
  <c r="L105" i="67" s="1"/>
  <c r="L19" i="68"/>
  <c r="N26" i="68"/>
  <c r="L26" i="68"/>
  <c r="V39" i="68"/>
  <c r="R49" i="68"/>
  <c r="L51" i="68"/>
  <c r="V49" i="69"/>
  <c r="J102" i="67"/>
  <c r="J108" i="67"/>
  <c r="J99" i="67"/>
  <c r="J91" i="67"/>
  <c r="J87" i="67"/>
  <c r="J98" i="67"/>
  <c r="J94" i="67"/>
  <c r="J90" i="67"/>
  <c r="J86" i="67"/>
  <c r="J78" i="67"/>
  <c r="J72" i="67"/>
  <c r="J64" i="67"/>
  <c r="J58" i="67"/>
  <c r="J46" i="67"/>
  <c r="J38" i="67"/>
  <c r="J30" i="67"/>
  <c r="J105" i="67"/>
  <c r="J101" i="67"/>
  <c r="J97" i="67"/>
  <c r="J93" i="67"/>
  <c r="J89" i="67"/>
  <c r="J83" i="67"/>
  <c r="J77" i="67"/>
  <c r="J69" i="67"/>
  <c r="J57" i="67"/>
  <c r="J45" i="67"/>
  <c r="J37" i="67"/>
  <c r="J29" i="67"/>
  <c r="J112" i="67"/>
  <c r="J107" i="67"/>
  <c r="J20" i="67"/>
  <c r="J33" i="67"/>
  <c r="J34" i="67"/>
  <c r="J42" i="67"/>
  <c r="J59" i="67"/>
  <c r="J63" i="67"/>
  <c r="X72" i="67"/>
  <c r="Z72" i="67" s="1"/>
  <c r="J74" i="67"/>
  <c r="J75" i="67"/>
  <c r="J80" i="67"/>
  <c r="L83" i="67"/>
  <c r="J26" i="68"/>
  <c r="V27" i="68"/>
  <c r="Z49" i="68"/>
  <c r="X69" i="68"/>
  <c r="N72" i="68"/>
  <c r="L72" i="68"/>
  <c r="V21" i="69"/>
  <c r="V44" i="69"/>
  <c r="V66" i="69"/>
  <c r="N23" i="80"/>
  <c r="L23" i="80"/>
  <c r="J52" i="67"/>
  <c r="J56" i="67"/>
  <c r="J60" i="67"/>
  <c r="J61" i="67"/>
  <c r="J62" i="67"/>
  <c r="J84" i="67"/>
  <c r="N105" i="67"/>
  <c r="R64" i="68"/>
  <c r="R55" i="68"/>
  <c r="R39" i="68"/>
  <c r="R35" i="68"/>
  <c r="R27" i="68"/>
  <c r="R54" i="68"/>
  <c r="R51" i="68"/>
  <c r="R46" i="68"/>
  <c r="R38" i="68"/>
  <c r="R34" i="68"/>
  <c r="R19" i="68"/>
  <c r="R77" i="68"/>
  <c r="R72" i="68"/>
  <c r="R61" i="68"/>
  <c r="R57" i="68"/>
  <c r="R45" i="68"/>
  <c r="R37" i="68"/>
  <c r="R33" i="68"/>
  <c r="R26" i="68"/>
  <c r="R68" i="68"/>
  <c r="R60" i="68"/>
  <c r="R53" i="68"/>
  <c r="R48" i="68"/>
  <c r="R44" i="68"/>
  <c r="R32" i="68"/>
  <c r="R67" i="68"/>
  <c r="R63" i="68"/>
  <c r="R59" i="68"/>
  <c r="R56" i="68"/>
  <c r="R43" i="68"/>
  <c r="R36" i="68"/>
  <c r="R31" i="68"/>
  <c r="P23" i="68"/>
  <c r="R70" i="68"/>
  <c r="R66" i="68"/>
  <c r="R50" i="68"/>
  <c r="R47" i="68"/>
  <c r="R42" i="68"/>
  <c r="R30" i="68"/>
  <c r="X12" i="68"/>
  <c r="Z12" i="68" s="1"/>
  <c r="H23" i="68"/>
  <c r="N19" i="68"/>
  <c r="J19" i="68"/>
  <c r="N51" i="68"/>
  <c r="J51" i="68"/>
  <c r="R58" i="68"/>
  <c r="R62" i="68"/>
  <c r="R69" i="68"/>
  <c r="P72" i="68"/>
  <c r="X72" i="68" s="1"/>
  <c r="Z72" i="68" s="1"/>
  <c r="X73" i="68"/>
  <c r="Z73" i="68" s="1"/>
  <c r="H31" i="69"/>
  <c r="L19" i="69"/>
  <c r="N19" i="69" s="1"/>
  <c r="V36" i="69"/>
  <c r="V48" i="69"/>
  <c r="N71" i="69"/>
  <c r="L23" i="71"/>
  <c r="N23" i="71" s="1"/>
  <c r="T25" i="72"/>
  <c r="V23" i="72"/>
  <c r="N12" i="67"/>
  <c r="J22" i="67"/>
  <c r="J51" i="67"/>
  <c r="J53" i="67"/>
  <c r="J55" i="67"/>
  <c r="J65" i="67"/>
  <c r="J70" i="67"/>
  <c r="J81" i="67"/>
  <c r="J82" i="67"/>
  <c r="J92" i="67"/>
  <c r="J95" i="67"/>
  <c r="J96" i="67"/>
  <c r="P105" i="67"/>
  <c r="X105" i="67" s="1"/>
  <c r="J110" i="67"/>
  <c r="V72" i="68"/>
  <c r="V54" i="68"/>
  <c r="V46" i="68"/>
  <c r="V38" i="68"/>
  <c r="V34" i="68"/>
  <c r="V26" i="68"/>
  <c r="V77" i="68"/>
  <c r="V61" i="68"/>
  <c r="V57" i="68"/>
  <c r="V53" i="68"/>
  <c r="V45" i="68"/>
  <c r="V37" i="68"/>
  <c r="V33" i="68"/>
  <c r="V68" i="68"/>
  <c r="V60" i="68"/>
  <c r="V56" i="68"/>
  <c r="V48" i="68"/>
  <c r="V44" i="68"/>
  <c r="V36" i="68"/>
  <c r="V32" i="68"/>
  <c r="T23" i="68"/>
  <c r="V67" i="68"/>
  <c r="V63" i="68"/>
  <c r="V59" i="68"/>
  <c r="V47" i="68"/>
  <c r="V43" i="68"/>
  <c r="V31" i="68"/>
  <c r="V70" i="68"/>
  <c r="V66" i="68"/>
  <c r="V62" i="68"/>
  <c r="V58" i="68"/>
  <c r="V50" i="68"/>
  <c r="V42" i="68"/>
  <c r="V30" i="68"/>
  <c r="V73" i="68"/>
  <c r="V69" i="68"/>
  <c r="V65" i="68"/>
  <c r="V49" i="68"/>
  <c r="V41" i="68"/>
  <c r="V29" i="68"/>
  <c r="V25" i="68"/>
  <c r="V21" i="68"/>
  <c r="R20" i="68"/>
  <c r="R21" i="68"/>
  <c r="X25" i="68"/>
  <c r="Z69" i="68"/>
  <c r="R73" i="68"/>
  <c r="N64" i="69"/>
  <c r="L64" i="69"/>
  <c r="J23" i="71"/>
  <c r="P12" i="67"/>
  <c r="J23" i="67"/>
  <c r="J43" i="67"/>
  <c r="J47" i="67"/>
  <c r="J48" i="67"/>
  <c r="J49" i="67"/>
  <c r="J50" i="67"/>
  <c r="J54" i="67"/>
  <c r="J76" i="67"/>
  <c r="J85" i="67"/>
  <c r="J88" i="67"/>
  <c r="J103" i="67"/>
  <c r="Z105" i="67"/>
  <c r="V20" i="68"/>
  <c r="R25" i="68"/>
  <c r="N64" i="68"/>
  <c r="R65" i="68"/>
  <c r="N33" i="69"/>
  <c r="X56" i="69"/>
  <c r="Z56" i="69" s="1"/>
  <c r="N58" i="69"/>
  <c r="L58" i="69"/>
  <c r="N60" i="71"/>
  <c r="L60" i="71"/>
  <c r="X64" i="67"/>
  <c r="Z64" i="67" s="1"/>
  <c r="Z25" i="68"/>
  <c r="V62" i="69"/>
  <c r="V77" i="69"/>
  <c r="V74" i="69"/>
  <c r="V67" i="69"/>
  <c r="V81" i="69"/>
  <c r="V69" i="69"/>
  <c r="V61" i="69"/>
  <c r="V75" i="69"/>
  <c r="V64" i="69"/>
  <c r="V59" i="69"/>
  <c r="V58" i="69"/>
  <c r="V47" i="69"/>
  <c r="V43" i="69"/>
  <c r="V35" i="69"/>
  <c r="V27" i="69"/>
  <c r="V19" i="69"/>
  <c r="V76" i="69"/>
  <c r="V68" i="69"/>
  <c r="V46" i="69"/>
  <c r="V42" i="69"/>
  <c r="V34" i="69"/>
  <c r="V26" i="69"/>
  <c r="V71" i="69"/>
  <c r="V65" i="69"/>
  <c r="V55" i="69"/>
  <c r="V45" i="69"/>
  <c r="V41" i="69"/>
  <c r="V31" i="69"/>
  <c r="V25" i="69"/>
  <c r="V63" i="69"/>
  <c r="V54" i="69"/>
  <c r="V53" i="69"/>
  <c r="V52" i="69"/>
  <c r="V40" i="69"/>
  <c r="T31" i="69"/>
  <c r="V24" i="69"/>
  <c r="V60" i="69"/>
  <c r="V51" i="69"/>
  <c r="V39" i="69"/>
  <c r="V23" i="69"/>
  <c r="V72" i="69"/>
  <c r="V70" i="69"/>
  <c r="V57" i="69"/>
  <c r="V56" i="69"/>
  <c r="V50" i="69"/>
  <c r="V38" i="69"/>
  <c r="V22" i="69"/>
  <c r="V29" i="69"/>
  <c r="N81" i="76"/>
  <c r="Z83" i="67"/>
  <c r="N100" i="67"/>
  <c r="Z64" i="68"/>
  <c r="X64" i="68"/>
  <c r="V28" i="69"/>
  <c r="Z33" i="69"/>
  <c r="X33" i="69"/>
  <c r="Z60" i="69"/>
  <c r="H20" i="71"/>
  <c r="N16" i="71"/>
  <c r="L16" i="71"/>
  <c r="Z57" i="71"/>
  <c r="Z65" i="71"/>
  <c r="N54" i="73"/>
  <c r="L56" i="74"/>
  <c r="N56" i="74" s="1"/>
  <c r="J64" i="68"/>
  <c r="D12" i="69"/>
  <c r="J33" i="69"/>
  <c r="J59" i="69"/>
  <c r="J68" i="69"/>
  <c r="L75" i="69"/>
  <c r="D74" i="69"/>
  <c r="L74" i="69" s="1"/>
  <c r="N74" i="69" s="1"/>
  <c r="D12" i="71"/>
  <c r="N22" i="71"/>
  <c r="V57" i="71"/>
  <c r="V65" i="71"/>
  <c r="J54" i="73"/>
  <c r="Z60" i="73"/>
  <c r="T24" i="74"/>
  <c r="Z54" i="74"/>
  <c r="X54" i="74"/>
  <c r="J18" i="76"/>
  <c r="H23" i="76"/>
  <c r="Z40" i="78"/>
  <c r="X40" i="78"/>
  <c r="D12" i="68"/>
  <c r="J25" i="68"/>
  <c r="J27" i="68"/>
  <c r="J35" i="68"/>
  <c r="J39" i="68"/>
  <c r="J49" i="68"/>
  <c r="J55" i="68"/>
  <c r="J69" i="68"/>
  <c r="J74" i="69"/>
  <c r="J70" i="69"/>
  <c r="J64" i="69"/>
  <c r="J81" i="69"/>
  <c r="J76" i="69"/>
  <c r="J72" i="69"/>
  <c r="J66" i="69"/>
  <c r="J71" i="69"/>
  <c r="J65" i="69"/>
  <c r="J57" i="69"/>
  <c r="J53" i="69"/>
  <c r="J20" i="69"/>
  <c r="J28" i="69"/>
  <c r="J36" i="69"/>
  <c r="J44" i="69"/>
  <c r="J48" i="69"/>
  <c r="J56" i="69"/>
  <c r="Z71" i="69"/>
  <c r="J75" i="69"/>
  <c r="N46" i="71"/>
  <c r="N50" i="71"/>
  <c r="J67" i="71"/>
  <c r="Z16" i="73"/>
  <c r="V60" i="73"/>
  <c r="N62" i="73"/>
  <c r="Z26" i="77"/>
  <c r="T30" i="77"/>
  <c r="P75" i="78"/>
  <c r="J20" i="68"/>
  <c r="J28" i="68"/>
  <c r="J40" i="68"/>
  <c r="J52" i="68"/>
  <c r="J58" i="68"/>
  <c r="J62" i="68"/>
  <c r="J73" i="68"/>
  <c r="J21" i="69"/>
  <c r="J29" i="69"/>
  <c r="J37" i="69"/>
  <c r="J49" i="69"/>
  <c r="Z16" i="71"/>
  <c r="Z52" i="71"/>
  <c r="P12" i="72"/>
  <c r="V16" i="73"/>
  <c r="N34" i="73"/>
  <c r="J62" i="73"/>
  <c r="Z64" i="73"/>
  <c r="X13" i="74"/>
  <c r="Z13" i="74" s="1"/>
  <c r="P12" i="74"/>
  <c r="D12" i="75"/>
  <c r="L13" i="75"/>
  <c r="N13" i="75" s="1"/>
  <c r="Z28" i="75"/>
  <c r="V28" i="75"/>
  <c r="V38" i="76"/>
  <c r="V54" i="76"/>
  <c r="R30" i="80"/>
  <c r="R24" i="80"/>
  <c r="R21" i="80"/>
  <c r="P16" i="80"/>
  <c r="R35" i="80"/>
  <c r="R28" i="80"/>
  <c r="R20" i="80"/>
  <c r="X12" i="80"/>
  <c r="R32" i="80"/>
  <c r="R26" i="80"/>
  <c r="R19" i="80"/>
  <c r="R18" i="80"/>
  <c r="R16" i="80"/>
  <c r="R23" i="80"/>
  <c r="R22" i="80"/>
  <c r="R14" i="80"/>
  <c r="X106" i="67"/>
  <c r="Z106" i="67" s="1"/>
  <c r="Z64" i="69"/>
  <c r="Z22" i="71"/>
  <c r="X22" i="71"/>
  <c r="X24" i="73"/>
  <c r="H86" i="73"/>
  <c r="J86" i="73" s="1"/>
  <c r="X37" i="74"/>
  <c r="Z37" i="74" s="1"/>
  <c r="F20" i="77"/>
  <c r="L12" i="77"/>
  <c r="F19" i="77"/>
  <c r="F16" i="77"/>
  <c r="F14" i="77"/>
  <c r="F26" i="77"/>
  <c r="F24" i="77"/>
  <c r="D16" i="77"/>
  <c r="F22" i="77"/>
  <c r="F21" i="77"/>
  <c r="F18" i="77"/>
  <c r="F30" i="77"/>
  <c r="F28" i="77"/>
  <c r="F33" i="77"/>
  <c r="D28" i="81"/>
  <c r="L16" i="81"/>
  <c r="J66" i="68"/>
  <c r="P12" i="69"/>
  <c r="X46" i="71"/>
  <c r="Z46" i="71" s="1"/>
  <c r="N48" i="71"/>
  <c r="L48" i="71"/>
  <c r="X23" i="72"/>
  <c r="Z24" i="73"/>
  <c r="X49" i="73"/>
  <c r="Z49" i="73" s="1"/>
  <c r="L51" i="73"/>
  <c r="N51" i="73" s="1"/>
  <c r="V37" i="74"/>
  <c r="V93" i="76"/>
  <c r="V81" i="76"/>
  <c r="V77" i="76"/>
  <c r="V69" i="76"/>
  <c r="V61" i="76"/>
  <c r="V84" i="76"/>
  <c r="V76" i="76"/>
  <c r="V68" i="76"/>
  <c r="V64" i="76"/>
  <c r="V60" i="76"/>
  <c r="V89" i="76"/>
  <c r="V85" i="76"/>
  <c r="V73" i="76"/>
  <c r="V65" i="76"/>
  <c r="V57" i="76"/>
  <c r="V53" i="76"/>
  <c r="V80" i="76"/>
  <c r="V72" i="76"/>
  <c r="V56" i="76"/>
  <c r="V48" i="76"/>
  <c r="V59" i="76"/>
  <c r="V52" i="76"/>
  <c r="V45" i="76"/>
  <c r="V37" i="76"/>
  <c r="V33" i="76"/>
  <c r="V63" i="76"/>
  <c r="V62" i="76"/>
  <c r="V44" i="76"/>
  <c r="V36" i="76"/>
  <c r="V32" i="76"/>
  <c r="T23" i="76"/>
  <c r="V23" i="76" s="1"/>
  <c r="V83" i="76"/>
  <c r="V79" i="76"/>
  <c r="V78" i="76"/>
  <c r="V50" i="76"/>
  <c r="V49" i="76"/>
  <c r="V43" i="76"/>
  <c r="V31" i="76"/>
  <c r="V75" i="76"/>
  <c r="V74" i="76"/>
  <c r="V47" i="76"/>
  <c r="V42" i="76"/>
  <c r="V30" i="76"/>
  <c r="V82" i="76"/>
  <c r="V67" i="76"/>
  <c r="V66" i="76"/>
  <c r="V41" i="76"/>
  <c r="V29" i="76"/>
  <c r="V25" i="76"/>
  <c r="V21" i="76"/>
  <c r="V40" i="76"/>
  <c r="V28" i="76"/>
  <c r="V20" i="76"/>
  <c r="V71" i="76"/>
  <c r="V55" i="76"/>
  <c r="V51" i="76"/>
  <c r="V39" i="76"/>
  <c r="V34" i="76"/>
  <c r="V46" i="76"/>
  <c r="V26" i="76"/>
  <c r="V86" i="76"/>
  <c r="V35" i="76"/>
  <c r="V18" i="76"/>
  <c r="V88" i="76"/>
  <c r="V58" i="76"/>
  <c r="V27" i="76"/>
  <c r="Z36" i="82"/>
  <c r="V36" i="82"/>
  <c r="J16" i="71"/>
  <c r="V18" i="71"/>
  <c r="V22" i="71"/>
  <c r="V26" i="71"/>
  <c r="R27" i="71"/>
  <c r="J30" i="71"/>
  <c r="J34" i="71"/>
  <c r="V38" i="71"/>
  <c r="R39" i="71"/>
  <c r="J42" i="71"/>
  <c r="R44" i="71"/>
  <c r="V46" i="71"/>
  <c r="R47" i="71"/>
  <c r="J48" i="71"/>
  <c r="R52" i="71"/>
  <c r="J54" i="71"/>
  <c r="V58" i="71"/>
  <c r="R59" i="71"/>
  <c r="J60" i="71"/>
  <c r="V62" i="71"/>
  <c r="R63" i="71"/>
  <c r="V66" i="71"/>
  <c r="R70" i="71"/>
  <c r="R76" i="71"/>
  <c r="H19" i="72"/>
  <c r="D12" i="73"/>
  <c r="V17" i="73"/>
  <c r="R18" i="73"/>
  <c r="J21" i="73"/>
  <c r="R23" i="73"/>
  <c r="V25" i="73"/>
  <c r="R26" i="73"/>
  <c r="J29" i="73"/>
  <c r="V33" i="73"/>
  <c r="V37" i="73"/>
  <c r="R38" i="73"/>
  <c r="J41" i="73"/>
  <c r="R47" i="73"/>
  <c r="V49" i="73"/>
  <c r="R50" i="73"/>
  <c r="J51" i="73"/>
  <c r="V53" i="73"/>
  <c r="V61" i="73"/>
  <c r="V74" i="73"/>
  <c r="V75" i="73"/>
  <c r="L78" i="73"/>
  <c r="N78" i="73" s="1"/>
  <c r="Z27" i="74"/>
  <c r="N48" i="74"/>
  <c r="L48" i="74"/>
  <c r="Z65" i="74"/>
  <c r="X65" i="74"/>
  <c r="N24" i="75"/>
  <c r="N26" i="76"/>
  <c r="J26" i="76"/>
  <c r="X45" i="78"/>
  <c r="Z45" i="78"/>
  <c r="J19" i="79"/>
  <c r="J34" i="79"/>
  <c r="J28" i="79"/>
  <c r="J24" i="79"/>
  <c r="J16" i="79"/>
  <c r="J23" i="79"/>
  <c r="J37" i="79"/>
  <c r="J30" i="79"/>
  <c r="J20" i="79"/>
  <c r="J18" i="79"/>
  <c r="J14" i="79"/>
  <c r="N12" i="79"/>
  <c r="J25" i="79"/>
  <c r="J21" i="79"/>
  <c r="H16" i="79"/>
  <c r="J26" i="79"/>
  <c r="J22" i="79"/>
  <c r="X14" i="80"/>
  <c r="T16" i="80"/>
  <c r="Z14" i="80"/>
  <c r="N19" i="81"/>
  <c r="L19" i="81"/>
  <c r="V39" i="71"/>
  <c r="R40" i="71"/>
  <c r="V47" i="71"/>
  <c r="V55" i="71"/>
  <c r="R56" i="71"/>
  <c r="J57" i="71"/>
  <c r="V59" i="71"/>
  <c r="V63" i="71"/>
  <c r="R64" i="71"/>
  <c r="J65" i="71"/>
  <c r="J77" i="73"/>
  <c r="J84" i="73"/>
  <c r="J80" i="73"/>
  <c r="J76" i="73"/>
  <c r="J79" i="73"/>
  <c r="J88" i="73"/>
  <c r="J82" i="73"/>
  <c r="J74" i="73"/>
  <c r="J70" i="73"/>
  <c r="J66" i="73"/>
  <c r="J73" i="73"/>
  <c r="J16" i="73"/>
  <c r="J24" i="73"/>
  <c r="R27" i="73"/>
  <c r="J30" i="73"/>
  <c r="R39" i="73"/>
  <c r="J42" i="73"/>
  <c r="J46" i="73"/>
  <c r="V50" i="73"/>
  <c r="R56" i="73"/>
  <c r="V58" i="73"/>
  <c r="R59" i="73"/>
  <c r="J60" i="73"/>
  <c r="J68" i="73"/>
  <c r="J72" i="73"/>
  <c r="R80" i="73"/>
  <c r="L24" i="74"/>
  <c r="N59" i="74"/>
  <c r="L59" i="74"/>
  <c r="N67" i="74"/>
  <c r="L67" i="74"/>
  <c r="Z18" i="77"/>
  <c r="X18" i="77"/>
  <c r="N18" i="78"/>
  <c r="F24" i="81"/>
  <c r="F20" i="81"/>
  <c r="L12" i="81"/>
  <c r="F23" i="81"/>
  <c r="F18" i="81"/>
  <c r="F14" i="81"/>
  <c r="F22" i="81"/>
  <c r="F32" i="81"/>
  <c r="F28" i="81"/>
  <c r="F19" i="81"/>
  <c r="F30" i="81"/>
  <c r="F16" i="81"/>
  <c r="F35" i="81"/>
  <c r="F26" i="81"/>
  <c r="R20" i="71"/>
  <c r="J22" i="71"/>
  <c r="V28" i="71"/>
  <c r="R29" i="71"/>
  <c r="J36" i="71"/>
  <c r="V40" i="71"/>
  <c r="R41" i="71"/>
  <c r="V44" i="71"/>
  <c r="R45" i="71"/>
  <c r="J46" i="71"/>
  <c r="R50" i="71"/>
  <c r="V52" i="71"/>
  <c r="R53" i="71"/>
  <c r="V56" i="71"/>
  <c r="V64" i="71"/>
  <c r="J68" i="71"/>
  <c r="V70" i="71"/>
  <c r="J74" i="71"/>
  <c r="V16" i="72"/>
  <c r="V23" i="73"/>
  <c r="R28" i="73"/>
  <c r="J31" i="73"/>
  <c r="J35" i="73"/>
  <c r="V39" i="73"/>
  <c r="R40" i="73"/>
  <c r="J43" i="73"/>
  <c r="R45" i="73"/>
  <c r="V47" i="73"/>
  <c r="R48" i="73"/>
  <c r="J49" i="73"/>
  <c r="J55" i="73"/>
  <c r="V59" i="73"/>
  <c r="J63" i="73"/>
  <c r="V64" i="73"/>
  <c r="R65" i="73"/>
  <c r="R66" i="73"/>
  <c r="R67" i="73"/>
  <c r="J69" i="73"/>
  <c r="R71" i="73"/>
  <c r="J59" i="74"/>
  <c r="Z61" i="74"/>
  <c r="J67" i="74"/>
  <c r="Z73" i="74"/>
  <c r="X82" i="74"/>
  <c r="Z82" i="74" s="1"/>
  <c r="Z60" i="76"/>
  <c r="Z18" i="79"/>
  <c r="N66" i="82"/>
  <c r="L66" i="82"/>
  <c r="J66" i="82"/>
  <c r="T20" i="71"/>
  <c r="X20" i="71" s="1"/>
  <c r="R23" i="71"/>
  <c r="V29" i="71"/>
  <c r="R30" i="71"/>
  <c r="V33" i="71"/>
  <c r="R34" i="71"/>
  <c r="J37" i="71"/>
  <c r="V41" i="71"/>
  <c r="R42" i="71"/>
  <c r="V45" i="71"/>
  <c r="J49" i="71"/>
  <c r="V53" i="71"/>
  <c r="R54" i="71"/>
  <c r="J55" i="71"/>
  <c r="J61" i="71"/>
  <c r="R67" i="71"/>
  <c r="P72" i="71"/>
  <c r="D12" i="72"/>
  <c r="P21" i="73"/>
  <c r="V28" i="73"/>
  <c r="R29" i="73"/>
  <c r="J32" i="73"/>
  <c r="R34" i="73"/>
  <c r="J36" i="73"/>
  <c r="V40" i="73"/>
  <c r="R41" i="73"/>
  <c r="J44" i="73"/>
  <c r="V48" i="73"/>
  <c r="J52" i="73"/>
  <c r="R54" i="73"/>
  <c r="V56" i="73"/>
  <c r="R57" i="73"/>
  <c r="J58" i="73"/>
  <c r="R62" i="73"/>
  <c r="X64" i="73"/>
  <c r="V65" i="73"/>
  <c r="V66" i="73"/>
  <c r="V67" i="73"/>
  <c r="V70" i="73"/>
  <c r="V71" i="73"/>
  <c r="J78" i="73"/>
  <c r="V88" i="73"/>
  <c r="N18" i="74"/>
  <c r="J25" i="75"/>
  <c r="J17" i="75"/>
  <c r="H22" i="75"/>
  <c r="J28" i="75"/>
  <c r="J20" i="75"/>
  <c r="J19" i="75"/>
  <c r="J32" i="75"/>
  <c r="J26" i="75"/>
  <c r="J24" i="75"/>
  <c r="J18" i="75"/>
  <c r="L65" i="76"/>
  <c r="N65" i="76" s="1"/>
  <c r="V20" i="71"/>
  <c r="V30" i="71"/>
  <c r="R31" i="71"/>
  <c r="V34" i="71"/>
  <c r="R35" i="71"/>
  <c r="V42" i="71"/>
  <c r="R43" i="71"/>
  <c r="J44" i="71"/>
  <c r="R48" i="71"/>
  <c r="V50" i="71"/>
  <c r="R51" i="71"/>
  <c r="J52" i="71"/>
  <c r="V54" i="71"/>
  <c r="J58" i="71"/>
  <c r="R60" i="71"/>
  <c r="J62" i="71"/>
  <c r="J66" i="71"/>
  <c r="J70" i="71"/>
  <c r="R72" i="71"/>
  <c r="R79" i="71"/>
  <c r="J16" i="72"/>
  <c r="R88" i="73"/>
  <c r="R82" i="73"/>
  <c r="R74" i="73"/>
  <c r="R70" i="73"/>
  <c r="R78" i="73"/>
  <c r="R73" i="73"/>
  <c r="R69" i="73"/>
  <c r="R81" i="73"/>
  <c r="R72" i="73"/>
  <c r="R68" i="73"/>
  <c r="R64" i="73"/>
  <c r="R84" i="73"/>
  <c r="J17" i="73"/>
  <c r="R21" i="73"/>
  <c r="J23" i="73"/>
  <c r="J25" i="73"/>
  <c r="R30" i="73"/>
  <c r="J33" i="73"/>
  <c r="J37" i="73"/>
  <c r="R42" i="73"/>
  <c r="V45" i="73"/>
  <c r="R46" i="73"/>
  <c r="J47" i="73"/>
  <c r="R51" i="73"/>
  <c r="J53" i="73"/>
  <c r="V57" i="73"/>
  <c r="J61" i="73"/>
  <c r="J75" i="73"/>
  <c r="R77" i="73"/>
  <c r="X18" i="74"/>
  <c r="Z18" i="74" s="1"/>
  <c r="X85" i="74"/>
  <c r="Z85" i="74" s="1"/>
  <c r="D90" i="74"/>
  <c r="X28" i="75"/>
  <c r="L18" i="76"/>
  <c r="N18" i="76" s="1"/>
  <c r="X53" i="78"/>
  <c r="Z53" i="78"/>
  <c r="P30" i="79"/>
  <c r="X12" i="71"/>
  <c r="Z12" i="71" s="1"/>
  <c r="V23" i="71"/>
  <c r="R24" i="71"/>
  <c r="J27" i="71"/>
  <c r="V31" i="71"/>
  <c r="R32" i="71"/>
  <c r="J33" i="71"/>
  <c r="V35" i="71"/>
  <c r="R36" i="71"/>
  <c r="J39" i="71"/>
  <c r="V43" i="71"/>
  <c r="J47" i="71"/>
  <c r="V51" i="71"/>
  <c r="R57" i="71"/>
  <c r="J59" i="71"/>
  <c r="R65" i="71"/>
  <c r="R68" i="71"/>
  <c r="J21" i="72"/>
  <c r="V81" i="73"/>
  <c r="V73" i="73"/>
  <c r="V69" i="73"/>
  <c r="V72" i="73"/>
  <c r="V68" i="73"/>
  <c r="V84" i="73"/>
  <c r="V77" i="73"/>
  <c r="V80" i="73"/>
  <c r="R16" i="73"/>
  <c r="J18" i="73"/>
  <c r="T21" i="73"/>
  <c r="R24" i="73"/>
  <c r="J26" i="73"/>
  <c r="V30" i="73"/>
  <c r="R31" i="73"/>
  <c r="V34" i="73"/>
  <c r="R35" i="73"/>
  <c r="J38" i="73"/>
  <c r="V42" i="73"/>
  <c r="R43" i="73"/>
  <c r="V46" i="73"/>
  <c r="J50" i="73"/>
  <c r="V54" i="73"/>
  <c r="R55" i="73"/>
  <c r="J56" i="73"/>
  <c r="R60" i="73"/>
  <c r="V62" i="73"/>
  <c r="R63" i="73"/>
  <c r="J64" i="73"/>
  <c r="N81" i="73"/>
  <c r="L81" i="73"/>
  <c r="N27" i="74"/>
  <c r="Z63" i="74"/>
  <c r="F65" i="74"/>
  <c r="V85" i="74"/>
  <c r="J49" i="76"/>
  <c r="L81" i="76"/>
  <c r="H16" i="78"/>
  <c r="J46" i="83"/>
  <c r="F18" i="74"/>
  <c r="V18" i="74"/>
  <c r="F24" i="74"/>
  <c r="F31" i="74"/>
  <c r="V34" i="74"/>
  <c r="V38" i="74"/>
  <c r="J42" i="74"/>
  <c r="F43" i="74"/>
  <c r="V46" i="74"/>
  <c r="J48" i="74"/>
  <c r="F51" i="74"/>
  <c r="F54" i="74"/>
  <c r="V54" i="74"/>
  <c r="J56" i="74"/>
  <c r="V58" i="74"/>
  <c r="J62" i="74"/>
  <c r="V66" i="74"/>
  <c r="F71" i="74"/>
  <c r="J74" i="74"/>
  <c r="F75" i="74"/>
  <c r="J78" i="74"/>
  <c r="F79" i="74"/>
  <c r="F82" i="74"/>
  <c r="V82" i="74"/>
  <c r="V86" i="74"/>
  <c r="F90" i="74"/>
  <c r="V92" i="74"/>
  <c r="J32" i="76"/>
  <c r="J44" i="76"/>
  <c r="J63" i="76"/>
  <c r="J65" i="76"/>
  <c r="J74" i="76"/>
  <c r="J81" i="76"/>
  <c r="J30" i="77"/>
  <c r="J24" i="77"/>
  <c r="J20" i="77"/>
  <c r="J18" i="77"/>
  <c r="J14" i="77"/>
  <c r="N12" i="77"/>
  <c r="J33" i="77"/>
  <c r="J26" i="77"/>
  <c r="J16" i="77"/>
  <c r="J21" i="77"/>
  <c r="H16" i="77"/>
  <c r="Z24" i="77"/>
  <c r="X24" i="77"/>
  <c r="N57" i="78"/>
  <c r="N69" i="78"/>
  <c r="Z19" i="79"/>
  <c r="Z23" i="79"/>
  <c r="X23" i="79"/>
  <c r="N18" i="80"/>
  <c r="X14" i="82"/>
  <c r="P12" i="82"/>
  <c r="N26" i="82"/>
  <c r="N27" i="86"/>
  <c r="L27" i="86"/>
  <c r="V19" i="74"/>
  <c r="H24" i="74"/>
  <c r="F27" i="74"/>
  <c r="V27" i="74"/>
  <c r="J31" i="74"/>
  <c r="F32" i="74"/>
  <c r="V35" i="74"/>
  <c r="J37" i="74"/>
  <c r="V39" i="74"/>
  <c r="J43" i="74"/>
  <c r="F44" i="74"/>
  <c r="V47" i="74"/>
  <c r="J51" i="74"/>
  <c r="V55" i="74"/>
  <c r="F60" i="74"/>
  <c r="F63" i="74"/>
  <c r="V63" i="74"/>
  <c r="J65" i="74"/>
  <c r="F68" i="74"/>
  <c r="J71" i="74"/>
  <c r="F72" i="74"/>
  <c r="J75" i="74"/>
  <c r="J79" i="74"/>
  <c r="V83" i="74"/>
  <c r="J85" i="74"/>
  <c r="P12" i="75"/>
  <c r="T22" i="75"/>
  <c r="D12" i="76"/>
  <c r="J33" i="76"/>
  <c r="J37" i="76"/>
  <c r="J45" i="76"/>
  <c r="N60" i="76"/>
  <c r="N62" i="76"/>
  <c r="L89" i="76"/>
  <c r="D88" i="76"/>
  <c r="L88" i="76" s="1"/>
  <c r="R33" i="77"/>
  <c r="R26" i="77"/>
  <c r="R16" i="77"/>
  <c r="R21" i="77"/>
  <c r="P16" i="77"/>
  <c r="R30" i="77"/>
  <c r="R24" i="77"/>
  <c r="R18" i="77"/>
  <c r="R14" i="77"/>
  <c r="R20" i="77"/>
  <c r="X12" i="77"/>
  <c r="Z14" i="77"/>
  <c r="X14" i="77"/>
  <c r="L21" i="77"/>
  <c r="J28" i="77"/>
  <c r="X29" i="78"/>
  <c r="Z29" i="78" s="1"/>
  <c r="N42" i="78"/>
  <c r="L42" i="78"/>
  <c r="V25" i="79"/>
  <c r="V20" i="79"/>
  <c r="Z12" i="79"/>
  <c r="V21" i="79"/>
  <c r="T16" i="79"/>
  <c r="X16" i="79" s="1"/>
  <c r="V24" i="79"/>
  <c r="V14" i="79"/>
  <c r="L18" i="79"/>
  <c r="N18" i="79" s="1"/>
  <c r="V19" i="79"/>
  <c r="V23" i="79"/>
  <c r="V34" i="79"/>
  <c r="D16" i="80"/>
  <c r="N19" i="80"/>
  <c r="R16" i="81"/>
  <c r="R18" i="81"/>
  <c r="J18" i="74"/>
  <c r="V20" i="74"/>
  <c r="J24" i="74"/>
  <c r="V28" i="74"/>
  <c r="J32" i="74"/>
  <c r="F33" i="74"/>
  <c r="V36" i="74"/>
  <c r="V40" i="74"/>
  <c r="J44" i="74"/>
  <c r="F45" i="74"/>
  <c r="F49" i="74"/>
  <c r="F52" i="74"/>
  <c r="V52" i="74"/>
  <c r="J54" i="74"/>
  <c r="F57" i="74"/>
  <c r="J60" i="74"/>
  <c r="V64" i="74"/>
  <c r="J68" i="74"/>
  <c r="F69" i="74"/>
  <c r="J72" i="74"/>
  <c r="F76" i="74"/>
  <c r="V76" i="74"/>
  <c r="F80" i="74"/>
  <c r="V80" i="74"/>
  <c r="J82" i="74"/>
  <c r="V84" i="74"/>
  <c r="V22" i="75"/>
  <c r="J83" i="76"/>
  <c r="J73" i="76"/>
  <c r="J57" i="76"/>
  <c r="J51" i="76"/>
  <c r="J89" i="76"/>
  <c r="J80" i="76"/>
  <c r="J70" i="76"/>
  <c r="J62" i="76"/>
  <c r="J93" i="76"/>
  <c r="J77" i="76"/>
  <c r="J69" i="76"/>
  <c r="J61" i="76"/>
  <c r="J47" i="76"/>
  <c r="J88" i="76"/>
  <c r="J84" i="76"/>
  <c r="J76" i="76"/>
  <c r="J68" i="76"/>
  <c r="J64" i="76"/>
  <c r="J58" i="76"/>
  <c r="J52" i="76"/>
  <c r="J34" i="76"/>
  <c r="J38" i="76"/>
  <c r="J46" i="76"/>
  <c r="N53" i="76"/>
  <c r="J59" i="76"/>
  <c r="J60" i="76"/>
  <c r="Z83" i="76"/>
  <c r="X83" i="76"/>
  <c r="V20" i="77"/>
  <c r="Z12" i="77"/>
  <c r="V19" i="77"/>
  <c r="V14" i="77"/>
  <c r="N19" i="78"/>
  <c r="N49" i="78"/>
  <c r="V32" i="79"/>
  <c r="R35" i="81"/>
  <c r="R23" i="81"/>
  <c r="R32" i="81"/>
  <c r="R22" i="81"/>
  <c r="R28" i="81"/>
  <c r="R21" i="81"/>
  <c r="P16" i="81"/>
  <c r="R30" i="81"/>
  <c r="R26" i="81"/>
  <c r="R24" i="81"/>
  <c r="R20" i="81"/>
  <c r="X12" i="81"/>
  <c r="R14" i="81"/>
  <c r="T16" i="81"/>
  <c r="X21" i="81"/>
  <c r="J74" i="82"/>
  <c r="Z53" i="83"/>
  <c r="D12" i="86"/>
  <c r="L13" i="86"/>
  <c r="V21" i="74"/>
  <c r="J27" i="74"/>
  <c r="V29" i="74"/>
  <c r="J33" i="74"/>
  <c r="F34" i="74"/>
  <c r="F38" i="74"/>
  <c r="V41" i="74"/>
  <c r="J45" i="74"/>
  <c r="F46" i="74"/>
  <c r="J49" i="74"/>
  <c r="V53" i="74"/>
  <c r="J57" i="74"/>
  <c r="F58" i="74"/>
  <c r="F61" i="74"/>
  <c r="V61" i="74"/>
  <c r="J63" i="74"/>
  <c r="F66" i="74"/>
  <c r="J69" i="74"/>
  <c r="F73" i="74"/>
  <c r="V73" i="74"/>
  <c r="V77" i="74"/>
  <c r="V81" i="74"/>
  <c r="F86" i="74"/>
  <c r="F92" i="74"/>
  <c r="V17" i="75"/>
  <c r="V25" i="75"/>
  <c r="J19" i="76"/>
  <c r="J25" i="76"/>
  <c r="J27" i="76"/>
  <c r="J35" i="76"/>
  <c r="J39" i="76"/>
  <c r="J53" i="76"/>
  <c r="J54" i="76"/>
  <c r="J55" i="76"/>
  <c r="J71" i="76"/>
  <c r="J22" i="77"/>
  <c r="L14" i="79"/>
  <c r="N25" i="79"/>
  <c r="L25" i="79"/>
  <c r="F23" i="80"/>
  <c r="F20" i="80"/>
  <c r="L12" i="80"/>
  <c r="F18" i="80"/>
  <c r="F14" i="80"/>
  <c r="F30" i="80"/>
  <c r="F24" i="80"/>
  <c r="F19" i="80"/>
  <c r="F16" i="80"/>
  <c r="X18" i="80"/>
  <c r="Z18" i="80" s="1"/>
  <c r="X44" i="87"/>
  <c r="Z44" i="87" s="1"/>
  <c r="F19" i="74"/>
  <c r="V22" i="74"/>
  <c r="F26" i="74"/>
  <c r="V26" i="74"/>
  <c r="V30" i="74"/>
  <c r="J34" i="74"/>
  <c r="F35" i="74"/>
  <c r="J38" i="74"/>
  <c r="F39" i="74"/>
  <c r="V42" i="74"/>
  <c r="J46" i="74"/>
  <c r="F47" i="74"/>
  <c r="F50" i="74"/>
  <c r="V50" i="74"/>
  <c r="J52" i="74"/>
  <c r="F55" i="74"/>
  <c r="J58" i="74"/>
  <c r="V62" i="74"/>
  <c r="J66" i="74"/>
  <c r="F70" i="74"/>
  <c r="V70" i="74"/>
  <c r="V74" i="74"/>
  <c r="J76" i="74"/>
  <c r="V78" i="74"/>
  <c r="J80" i="74"/>
  <c r="F83" i="74"/>
  <c r="J86" i="74"/>
  <c r="F88" i="74"/>
  <c r="V88" i="74"/>
  <c r="J92" i="74"/>
  <c r="V26" i="75"/>
  <c r="V32" i="75"/>
  <c r="J28" i="76"/>
  <c r="J40" i="76"/>
  <c r="L49" i="76"/>
  <c r="J56" i="76"/>
  <c r="J72" i="76"/>
  <c r="J19" i="77"/>
  <c r="Z19" i="78"/>
  <c r="Z47" i="78"/>
  <c r="Z51" i="78"/>
  <c r="Z21" i="80"/>
  <c r="X21" i="80"/>
  <c r="L12" i="74"/>
  <c r="N12" i="74" s="1"/>
  <c r="F20" i="74"/>
  <c r="F28" i="74"/>
  <c r="V31" i="74"/>
  <c r="J35" i="74"/>
  <c r="F36" i="74"/>
  <c r="J39" i="74"/>
  <c r="F40" i="74"/>
  <c r="V43" i="74"/>
  <c r="J47" i="74"/>
  <c r="V51" i="74"/>
  <c r="J55" i="74"/>
  <c r="F59" i="74"/>
  <c r="V59" i="74"/>
  <c r="J61" i="74"/>
  <c r="F64" i="74"/>
  <c r="F67" i="74"/>
  <c r="V67" i="74"/>
  <c r="V71" i="74"/>
  <c r="J73" i="74"/>
  <c r="V75" i="74"/>
  <c r="P12" i="76"/>
  <c r="J21" i="76"/>
  <c r="J29" i="76"/>
  <c r="J41" i="76"/>
  <c r="J48" i="76"/>
  <c r="Z51" i="76"/>
  <c r="Z58" i="76"/>
  <c r="J67" i="76"/>
  <c r="N85" i="76"/>
  <c r="L85" i="76"/>
  <c r="J86" i="76"/>
  <c r="L18" i="78"/>
  <c r="X49" i="78"/>
  <c r="Z49" i="78" s="1"/>
  <c r="L67" i="78"/>
  <c r="V30" i="79"/>
  <c r="L26" i="80"/>
  <c r="F28" i="80"/>
  <c r="Z14" i="81"/>
  <c r="Z53" i="82"/>
  <c r="Z56" i="82"/>
  <c r="V56" i="82"/>
  <c r="L83" i="82"/>
  <c r="N83" i="82" s="1"/>
  <c r="H51" i="84"/>
  <c r="N16" i="84"/>
  <c r="D16" i="78"/>
  <c r="T16" i="78"/>
  <c r="R19" i="78"/>
  <c r="J21" i="78"/>
  <c r="F22" i="78"/>
  <c r="V25" i="78"/>
  <c r="R26" i="78"/>
  <c r="F29" i="78"/>
  <c r="V29" i="78"/>
  <c r="R30" i="78"/>
  <c r="J33" i="78"/>
  <c r="F34" i="78"/>
  <c r="V37" i="78"/>
  <c r="R38" i="78"/>
  <c r="V41" i="78"/>
  <c r="F46" i="78"/>
  <c r="R47" i="78"/>
  <c r="F49" i="78"/>
  <c r="V49" i="78"/>
  <c r="R50" i="78"/>
  <c r="J51" i="78"/>
  <c r="F54" i="78"/>
  <c r="F58" i="78"/>
  <c r="F62" i="78"/>
  <c r="R63" i="78"/>
  <c r="F65" i="78"/>
  <c r="V65" i="78"/>
  <c r="R66" i="78"/>
  <c r="J67" i="78"/>
  <c r="F70" i="78"/>
  <c r="D72" i="78"/>
  <c r="L72" i="78" s="1"/>
  <c r="F75" i="78"/>
  <c r="V75" i="78"/>
  <c r="V77" i="78"/>
  <c r="F82" i="78"/>
  <c r="V82" i="78"/>
  <c r="R16" i="79"/>
  <c r="R28" i="79"/>
  <c r="R34" i="79"/>
  <c r="V16" i="80"/>
  <c r="V22" i="80"/>
  <c r="J28" i="80"/>
  <c r="J35" i="80"/>
  <c r="V16" i="81"/>
  <c r="J26" i="81"/>
  <c r="L58" i="82"/>
  <c r="Z88" i="82"/>
  <c r="X88" i="82"/>
  <c r="Z55" i="83"/>
  <c r="N81" i="83"/>
  <c r="T55" i="84"/>
  <c r="J19" i="85"/>
  <c r="J30" i="85"/>
  <c r="J24" i="85"/>
  <c r="J21" i="85"/>
  <c r="H16" i="85"/>
  <c r="J35" i="85"/>
  <c r="J28" i="85"/>
  <c r="J23" i="85"/>
  <c r="J32" i="85"/>
  <c r="J22" i="85"/>
  <c r="J26" i="85"/>
  <c r="N12" i="85"/>
  <c r="J14" i="85"/>
  <c r="L12" i="85"/>
  <c r="L62" i="88"/>
  <c r="N62" i="88" s="1"/>
  <c r="J62" i="88"/>
  <c r="N54" i="89"/>
  <c r="F16" i="78"/>
  <c r="V16" i="78"/>
  <c r="J22" i="78"/>
  <c r="F23" i="78"/>
  <c r="V26" i="78"/>
  <c r="R27" i="78"/>
  <c r="V30" i="78"/>
  <c r="R31" i="78"/>
  <c r="J34" i="78"/>
  <c r="F35" i="78"/>
  <c r="V38" i="78"/>
  <c r="R39" i="78"/>
  <c r="J40" i="78"/>
  <c r="F43" i="78"/>
  <c r="J46" i="78"/>
  <c r="V50" i="78"/>
  <c r="J54" i="78"/>
  <c r="F55" i="78"/>
  <c r="J58" i="78"/>
  <c r="F59" i="78"/>
  <c r="J62" i="78"/>
  <c r="V66" i="78"/>
  <c r="J70" i="78"/>
  <c r="F72" i="78"/>
  <c r="V72" i="78"/>
  <c r="D16" i="79"/>
  <c r="R19" i="79"/>
  <c r="F21" i="79"/>
  <c r="R22" i="79"/>
  <c r="F26" i="79"/>
  <c r="F32" i="79"/>
  <c r="H16" i="80"/>
  <c r="V19" i="80"/>
  <c r="J21" i="80"/>
  <c r="H16" i="81"/>
  <c r="V19" i="81"/>
  <c r="J21" i="81"/>
  <c r="N58" i="82"/>
  <c r="L74" i="82"/>
  <c r="N74" i="82" s="1"/>
  <c r="Z33" i="83"/>
  <c r="L79" i="83"/>
  <c r="Z23" i="85"/>
  <c r="X23" i="85"/>
  <c r="Z23" i="86"/>
  <c r="J29" i="86"/>
  <c r="J21" i="86"/>
  <c r="J43" i="86"/>
  <c r="J36" i="86"/>
  <c r="J26" i="86"/>
  <c r="J18" i="86"/>
  <c r="J31" i="86"/>
  <c r="J23" i="86"/>
  <c r="H18" i="86"/>
  <c r="J28" i="86"/>
  <c r="J16" i="86"/>
  <c r="J25" i="86"/>
  <c r="J30" i="86"/>
  <c r="J38" i="86"/>
  <c r="J22" i="86"/>
  <c r="J40" i="86"/>
  <c r="J34" i="86"/>
  <c r="J32" i="86"/>
  <c r="J20" i="86"/>
  <c r="N12" i="86"/>
  <c r="J24" i="86"/>
  <c r="N36" i="82"/>
  <c r="Z60" i="82"/>
  <c r="T94" i="82"/>
  <c r="N22" i="83"/>
  <c r="Z60" i="83"/>
  <c r="Z57" i="87"/>
  <c r="X57" i="87"/>
  <c r="J19" i="78"/>
  <c r="V21" i="78"/>
  <c r="R22" i="78"/>
  <c r="J25" i="78"/>
  <c r="F26" i="78"/>
  <c r="F30" i="78"/>
  <c r="V33" i="78"/>
  <c r="R34" i="78"/>
  <c r="J37" i="78"/>
  <c r="F38" i="78"/>
  <c r="J41" i="78"/>
  <c r="F45" i="78"/>
  <c r="V45" i="78"/>
  <c r="R46" i="78"/>
  <c r="J47" i="78"/>
  <c r="F50" i="78"/>
  <c r="R51" i="78"/>
  <c r="F53" i="78"/>
  <c r="V53" i="78"/>
  <c r="R54" i="78"/>
  <c r="F57" i="78"/>
  <c r="V57" i="78"/>
  <c r="R58" i="78"/>
  <c r="F61" i="78"/>
  <c r="V61" i="78"/>
  <c r="R62" i="78"/>
  <c r="J63" i="78"/>
  <c r="F66" i="78"/>
  <c r="R67" i="78"/>
  <c r="F69" i="78"/>
  <c r="V69" i="78"/>
  <c r="R70" i="78"/>
  <c r="V73" i="78"/>
  <c r="J77" i="78"/>
  <c r="F79" i="78"/>
  <c r="V79" i="78"/>
  <c r="R14" i="79"/>
  <c r="R18" i="79"/>
  <c r="R30" i="79"/>
  <c r="R37" i="79"/>
  <c r="V14" i="80"/>
  <c r="V18" i="80"/>
  <c r="J22" i="80"/>
  <c r="J26" i="80"/>
  <c r="J32" i="81"/>
  <c r="J35" i="81"/>
  <c r="J23" i="81"/>
  <c r="V18" i="81"/>
  <c r="J22" i="81"/>
  <c r="L18" i="82"/>
  <c r="N56" i="82"/>
  <c r="N62" i="82"/>
  <c r="X76" i="82"/>
  <c r="Z76" i="82" s="1"/>
  <c r="X14" i="83"/>
  <c r="Z14" i="83" s="1"/>
  <c r="P12" i="83"/>
  <c r="J22" i="83"/>
  <c r="X53" i="83"/>
  <c r="L55" i="83"/>
  <c r="N55" i="83" s="1"/>
  <c r="N57" i="83"/>
  <c r="Z67" i="83"/>
  <c r="Z76" i="83"/>
  <c r="L19" i="87"/>
  <c r="N19" i="87" s="1"/>
  <c r="F14" i="78"/>
  <c r="F18" i="78"/>
  <c r="V22" i="78"/>
  <c r="R23" i="78"/>
  <c r="J26" i="78"/>
  <c r="F27" i="78"/>
  <c r="J30" i="78"/>
  <c r="F31" i="78"/>
  <c r="V34" i="78"/>
  <c r="R35" i="78"/>
  <c r="J38" i="78"/>
  <c r="F39" i="78"/>
  <c r="R40" i="78"/>
  <c r="V42" i="78"/>
  <c r="R43" i="78"/>
  <c r="V46" i="78"/>
  <c r="J50" i="78"/>
  <c r="V54" i="78"/>
  <c r="R55" i="78"/>
  <c r="V58" i="78"/>
  <c r="V62" i="78"/>
  <c r="F22" i="79"/>
  <c r="R23" i="79"/>
  <c r="R26" i="79"/>
  <c r="V30" i="81"/>
  <c r="D12" i="82"/>
  <c r="N18" i="82"/>
  <c r="X36" i="82"/>
  <c r="X64" i="82"/>
  <c r="Z64" i="82" s="1"/>
  <c r="L86" i="82"/>
  <c r="N33" i="83"/>
  <c r="V44" i="83"/>
  <c r="L46" i="83"/>
  <c r="N46" i="83" s="1"/>
  <c r="N65" i="83"/>
  <c r="V76" i="83"/>
  <c r="Z79" i="83"/>
  <c r="D16" i="84"/>
  <c r="J16" i="85"/>
  <c r="P40" i="86"/>
  <c r="R36" i="86"/>
  <c r="R31" i="86"/>
  <c r="J21" i="82"/>
  <c r="V23" i="82"/>
  <c r="J29" i="82"/>
  <c r="V33" i="82"/>
  <c r="V37" i="82"/>
  <c r="J41" i="82"/>
  <c r="V45" i="82"/>
  <c r="J47" i="82"/>
  <c r="V53" i="82"/>
  <c r="V57" i="82"/>
  <c r="J61" i="82"/>
  <c r="V65" i="82"/>
  <c r="V73" i="82"/>
  <c r="J77" i="82"/>
  <c r="V81" i="82"/>
  <c r="J83" i="82"/>
  <c r="V85" i="82"/>
  <c r="J89" i="82"/>
  <c r="V91" i="82"/>
  <c r="J17" i="83"/>
  <c r="F18" i="83"/>
  <c r="D20" i="83"/>
  <c r="T20" i="83"/>
  <c r="J25" i="83"/>
  <c r="F26" i="83"/>
  <c r="V29" i="83"/>
  <c r="F33" i="83"/>
  <c r="V33" i="83"/>
  <c r="J37" i="83"/>
  <c r="F38" i="83"/>
  <c r="V41" i="83"/>
  <c r="V45" i="83"/>
  <c r="J49" i="83"/>
  <c r="F50" i="83"/>
  <c r="F53" i="83"/>
  <c r="V53" i="83"/>
  <c r="J55" i="83"/>
  <c r="F58" i="83"/>
  <c r="J61" i="83"/>
  <c r="F62" i="83"/>
  <c r="F66" i="83"/>
  <c r="J69" i="83"/>
  <c r="F70" i="83"/>
  <c r="V73" i="83"/>
  <c r="J79" i="83"/>
  <c r="F82" i="83"/>
  <c r="D84" i="83"/>
  <c r="L84" i="83" s="1"/>
  <c r="H87" i="83"/>
  <c r="F89" i="83"/>
  <c r="F35" i="84"/>
  <c r="F23" i="84"/>
  <c r="F16" i="84"/>
  <c r="F53" i="84"/>
  <c r="F33" i="84"/>
  <c r="F28" i="84"/>
  <c r="F21" i="84"/>
  <c r="F44" i="84"/>
  <c r="F39" i="84"/>
  <c r="F32" i="84"/>
  <c r="F20" i="84"/>
  <c r="F48" i="84"/>
  <c r="F31" i="84"/>
  <c r="F27" i="84"/>
  <c r="F18" i="84"/>
  <c r="F14" i="84"/>
  <c r="X18" i="84"/>
  <c r="F29" i="84"/>
  <c r="F30" i="84"/>
  <c r="F37" i="84"/>
  <c r="F38" i="84"/>
  <c r="L43" i="84"/>
  <c r="R48" i="84"/>
  <c r="F55" i="84"/>
  <c r="X21" i="85"/>
  <c r="X18" i="87"/>
  <c r="Z18" i="87" s="1"/>
  <c r="L46" i="87"/>
  <c r="N46" i="87" s="1"/>
  <c r="J61" i="87"/>
  <c r="F33" i="88"/>
  <c r="P75" i="91"/>
  <c r="V18" i="82"/>
  <c r="H23" i="82"/>
  <c r="V26" i="82"/>
  <c r="J30" i="82"/>
  <c r="V34" i="82"/>
  <c r="J36" i="82"/>
  <c r="V38" i="82"/>
  <c r="J42" i="82"/>
  <c r="V46" i="82"/>
  <c r="J50" i="82"/>
  <c r="V54" i="82"/>
  <c r="J56" i="82"/>
  <c r="V62" i="82"/>
  <c r="J64" i="82"/>
  <c r="J70" i="82"/>
  <c r="J78" i="82"/>
  <c r="V82" i="82"/>
  <c r="V89" i="83"/>
  <c r="J18" i="83"/>
  <c r="F20" i="83"/>
  <c r="V20" i="83"/>
  <c r="J26" i="83"/>
  <c r="F27" i="83"/>
  <c r="V30" i="83"/>
  <c r="V34" i="83"/>
  <c r="J38" i="83"/>
  <c r="F39" i="83"/>
  <c r="V42" i="83"/>
  <c r="J44" i="83"/>
  <c r="F47" i="83"/>
  <c r="J50" i="83"/>
  <c r="V54" i="83"/>
  <c r="J58" i="83"/>
  <c r="F59" i="83"/>
  <c r="J62" i="83"/>
  <c r="F63" i="83"/>
  <c r="J66" i="83"/>
  <c r="J70" i="83"/>
  <c r="F71" i="83"/>
  <c r="V74" i="83"/>
  <c r="J76" i="83"/>
  <c r="V78" i="83"/>
  <c r="J82" i="83"/>
  <c r="F84" i="83"/>
  <c r="V84" i="83"/>
  <c r="J87" i="83"/>
  <c r="J89" i="83"/>
  <c r="F36" i="84"/>
  <c r="F40" i="84"/>
  <c r="F41" i="84"/>
  <c r="F42" i="84"/>
  <c r="F43" i="84"/>
  <c r="R46" i="84"/>
  <c r="Z48" i="84"/>
  <c r="P28" i="85"/>
  <c r="X16" i="85"/>
  <c r="N20" i="86"/>
  <c r="J30" i="87"/>
  <c r="J36" i="87"/>
  <c r="N49" i="87"/>
  <c r="F32" i="88"/>
  <c r="Z58" i="88"/>
  <c r="D92" i="90"/>
  <c r="L23" i="90"/>
  <c r="F23" i="90"/>
  <c r="F51" i="83"/>
  <c r="F56" i="83"/>
  <c r="F64" i="83"/>
  <c r="F67" i="83"/>
  <c r="V67" i="83"/>
  <c r="J71" i="83"/>
  <c r="F72" i="83"/>
  <c r="V75" i="83"/>
  <c r="F80" i="83"/>
  <c r="F83" i="88"/>
  <c r="F71" i="88"/>
  <c r="F67" i="88"/>
  <c r="F87" i="88"/>
  <c r="F82" i="88"/>
  <c r="F80" i="88"/>
  <c r="F75" i="88"/>
  <c r="F79" i="88"/>
  <c r="F70" i="88"/>
  <c r="F66" i="88"/>
  <c r="F72" i="88"/>
  <c r="F62" i="88"/>
  <c r="F59" i="88"/>
  <c r="F54" i="88"/>
  <c r="F51" i="88"/>
  <c r="F43" i="88"/>
  <c r="F31" i="88"/>
  <c r="F26" i="88"/>
  <c r="F18" i="88"/>
  <c r="F85" i="88"/>
  <c r="F84" i="88"/>
  <c r="F73" i="88"/>
  <c r="F65" i="88"/>
  <c r="F42" i="88"/>
  <c r="F37" i="88"/>
  <c r="F30" i="88"/>
  <c r="F23" i="88"/>
  <c r="F74" i="88"/>
  <c r="F64" i="88"/>
  <c r="F61" i="88"/>
  <c r="F56" i="88"/>
  <c r="F53" i="88"/>
  <c r="F48" i="88"/>
  <c r="F41" i="88"/>
  <c r="F29" i="88"/>
  <c r="D23" i="88"/>
  <c r="F21" i="88"/>
  <c r="F40" i="88"/>
  <c r="F36" i="88"/>
  <c r="F28" i="88"/>
  <c r="F20" i="88"/>
  <c r="L12" i="88"/>
  <c r="N12" i="88" s="1"/>
  <c r="F81" i="88"/>
  <c r="F77" i="88"/>
  <c r="F76" i="88"/>
  <c r="F69" i="88"/>
  <c r="F68" i="88"/>
  <c r="F63" i="88"/>
  <c r="F58" i="88"/>
  <c r="F55" i="88"/>
  <c r="F50" i="88"/>
  <c r="F47" i="88"/>
  <c r="F39" i="88"/>
  <c r="F35" i="88"/>
  <c r="F27" i="88"/>
  <c r="F19" i="88"/>
  <c r="F57" i="88"/>
  <c r="F44" i="88"/>
  <c r="F91" i="88"/>
  <c r="F45" i="88"/>
  <c r="F25" i="88"/>
  <c r="F46" i="88"/>
  <c r="F52" i="88"/>
  <c r="Z84" i="88"/>
  <c r="X84" i="88"/>
  <c r="J26" i="82"/>
  <c r="V28" i="82"/>
  <c r="J32" i="82"/>
  <c r="V40" i="82"/>
  <c r="J44" i="82"/>
  <c r="J48" i="82"/>
  <c r="V52" i="82"/>
  <c r="V60" i="82"/>
  <c r="J62" i="82"/>
  <c r="J68" i="82"/>
  <c r="J72" i="82"/>
  <c r="V76" i="82"/>
  <c r="J80" i="82"/>
  <c r="J84" i="82"/>
  <c r="V88" i="82"/>
  <c r="V92" i="82"/>
  <c r="J96" i="82"/>
  <c r="F16" i="83"/>
  <c r="V16" i="83"/>
  <c r="J20" i="83"/>
  <c r="V24" i="83"/>
  <c r="J28" i="83"/>
  <c r="F29" i="83"/>
  <c r="V32" i="83"/>
  <c r="V36" i="83"/>
  <c r="J40" i="83"/>
  <c r="F41" i="83"/>
  <c r="F45" i="83"/>
  <c r="F48" i="83"/>
  <c r="V48" i="83"/>
  <c r="V52" i="83"/>
  <c r="J56" i="83"/>
  <c r="F60" i="83"/>
  <c r="V60" i="83"/>
  <c r="J64" i="83"/>
  <c r="V68" i="83"/>
  <c r="J72" i="83"/>
  <c r="F73" i="83"/>
  <c r="J80" i="83"/>
  <c r="J84" i="83"/>
  <c r="R31" i="84"/>
  <c r="R27" i="84"/>
  <c r="R49" i="84"/>
  <c r="R37" i="84"/>
  <c r="R29" i="84"/>
  <c r="R25" i="84"/>
  <c r="R16" i="84"/>
  <c r="R55" i="84"/>
  <c r="R45" i="84"/>
  <c r="R40" i="84"/>
  <c r="R36" i="84"/>
  <c r="R24" i="84"/>
  <c r="P16" i="84"/>
  <c r="R35" i="84"/>
  <c r="R28" i="84"/>
  <c r="R23" i="84"/>
  <c r="R14" i="84"/>
  <c r="F24" i="84"/>
  <c r="R30" i="84"/>
  <c r="R38" i="84"/>
  <c r="F45" i="84"/>
  <c r="F49" i="87"/>
  <c r="F52" i="87"/>
  <c r="F45" i="87"/>
  <c r="F40" i="87"/>
  <c r="F66" i="87"/>
  <c r="F59" i="87"/>
  <c r="F48" i="87"/>
  <c r="F54" i="87"/>
  <c r="F51" i="87"/>
  <c r="F47" i="87"/>
  <c r="F42" i="87"/>
  <c r="F50" i="87"/>
  <c r="F63" i="87"/>
  <c r="F57" i="87"/>
  <c r="F39" i="87"/>
  <c r="F38" i="87"/>
  <c r="F37" i="87"/>
  <c r="F36" i="87"/>
  <c r="F24" i="87"/>
  <c r="F19" i="87"/>
  <c r="F35" i="87"/>
  <c r="F23" i="87"/>
  <c r="F16" i="87"/>
  <c r="F43" i="87"/>
  <c r="F34" i="87"/>
  <c r="F29" i="87"/>
  <c r="F22" i="87"/>
  <c r="D16" i="87"/>
  <c r="F53" i="87"/>
  <c r="F44" i="87"/>
  <c r="F33" i="87"/>
  <c r="F21" i="87"/>
  <c r="F32" i="87"/>
  <c r="F28" i="87"/>
  <c r="F20" i="87"/>
  <c r="L12" i="87"/>
  <c r="F27" i="87"/>
  <c r="F78" i="88"/>
  <c r="F48" i="89"/>
  <c r="V21" i="82"/>
  <c r="V25" i="82"/>
  <c r="V29" i="82"/>
  <c r="J33" i="82"/>
  <c r="J37" i="82"/>
  <c r="V41" i="82"/>
  <c r="J45" i="82"/>
  <c r="V49" i="82"/>
  <c r="J51" i="82"/>
  <c r="J57" i="82"/>
  <c r="V61" i="82"/>
  <c r="J65" i="82"/>
  <c r="V69" i="82"/>
  <c r="J73" i="82"/>
  <c r="V77" i="82"/>
  <c r="J81" i="82"/>
  <c r="J85" i="82"/>
  <c r="V89" i="82"/>
  <c r="F94" i="83"/>
  <c r="F87" i="83"/>
  <c r="X16" i="83"/>
  <c r="Z16" i="83" s="1"/>
  <c r="J23" i="83"/>
  <c r="V25" i="83"/>
  <c r="J29" i="83"/>
  <c r="F30" i="83"/>
  <c r="F34" i="83"/>
  <c r="V37" i="83"/>
  <c r="J41" i="83"/>
  <c r="F42" i="83"/>
  <c r="J45" i="83"/>
  <c r="V49" i="83"/>
  <c r="J51" i="83"/>
  <c r="F54" i="83"/>
  <c r="F57" i="83"/>
  <c r="V57" i="83"/>
  <c r="V61" i="83"/>
  <c r="F65" i="83"/>
  <c r="V65" i="83"/>
  <c r="J67" i="83"/>
  <c r="V69" i="83"/>
  <c r="J73" i="83"/>
  <c r="F74" i="83"/>
  <c r="F78" i="83"/>
  <c r="F81" i="83"/>
  <c r="V81" i="83"/>
  <c r="V85" i="83"/>
  <c r="L19" i="84"/>
  <c r="F34" i="84"/>
  <c r="X41" i="84"/>
  <c r="R42" i="84"/>
  <c r="F49" i="84"/>
  <c r="F51" i="84"/>
  <c r="R53" i="84"/>
  <c r="L18" i="85"/>
  <c r="N18" i="85" s="1"/>
  <c r="X23" i="86"/>
  <c r="X25" i="86"/>
  <c r="J66" i="87"/>
  <c r="J59" i="87"/>
  <c r="J45" i="87"/>
  <c r="J54" i="87"/>
  <c r="J48" i="87"/>
  <c r="J42" i="87"/>
  <c r="J51" i="87"/>
  <c r="J47" i="87"/>
  <c r="J39" i="87"/>
  <c r="J50" i="87"/>
  <c r="J44" i="87"/>
  <c r="J63" i="87"/>
  <c r="J57" i="87"/>
  <c r="J53" i="87"/>
  <c r="J41" i="87"/>
  <c r="J35" i="87"/>
  <c r="J29" i="87"/>
  <c r="J23" i="87"/>
  <c r="H16" i="87"/>
  <c r="J43" i="87"/>
  <c r="J34" i="87"/>
  <c r="J22" i="87"/>
  <c r="J52" i="87"/>
  <c r="J33" i="87"/>
  <c r="J21" i="87"/>
  <c r="J32" i="87"/>
  <c r="J28" i="87"/>
  <c r="J20" i="87"/>
  <c r="J18" i="87"/>
  <c r="J14" i="87"/>
  <c r="N12" i="87"/>
  <c r="J46" i="87"/>
  <c r="J31" i="87"/>
  <c r="J27" i="87"/>
  <c r="F26" i="87"/>
  <c r="Z25" i="88"/>
  <c r="V25" i="88"/>
  <c r="V30" i="82"/>
  <c r="J34" i="82"/>
  <c r="J38" i="82"/>
  <c r="V42" i="82"/>
  <c r="J46" i="82"/>
  <c r="V50" i="82"/>
  <c r="J54" i="82"/>
  <c r="V58" i="82"/>
  <c r="J60" i="82"/>
  <c r="V66" i="82"/>
  <c r="V70" i="82"/>
  <c r="V74" i="82"/>
  <c r="J76" i="82"/>
  <c r="V78" i="82"/>
  <c r="J82" i="82"/>
  <c r="J88" i="82"/>
  <c r="J16" i="83"/>
  <c r="V18" i="83"/>
  <c r="F22" i="83"/>
  <c r="V22" i="83"/>
  <c r="V26" i="83"/>
  <c r="J30" i="83"/>
  <c r="F31" i="83"/>
  <c r="J34" i="83"/>
  <c r="F35" i="83"/>
  <c r="V38" i="83"/>
  <c r="J42" i="83"/>
  <c r="F43" i="83"/>
  <c r="F46" i="83"/>
  <c r="V46" i="83"/>
  <c r="J48" i="83"/>
  <c r="V50" i="83"/>
  <c r="J54" i="83"/>
  <c r="V58" i="83"/>
  <c r="J60" i="83"/>
  <c r="V62" i="83"/>
  <c r="V66" i="83"/>
  <c r="V70" i="83"/>
  <c r="J74" i="83"/>
  <c r="F75" i="83"/>
  <c r="J78" i="83"/>
  <c r="V82" i="83"/>
  <c r="F19" i="84"/>
  <c r="R26" i="84"/>
  <c r="R39" i="84"/>
  <c r="R41" i="84"/>
  <c r="R43" i="84"/>
  <c r="R44" i="84"/>
  <c r="L14" i="85"/>
  <c r="X14" i="87"/>
  <c r="F25" i="87"/>
  <c r="J26" i="87"/>
  <c r="J38" i="87"/>
  <c r="F55" i="87"/>
  <c r="N54" i="88"/>
  <c r="L54" i="88"/>
  <c r="J54" i="88"/>
  <c r="V14" i="84"/>
  <c r="V18" i="84"/>
  <c r="V22" i="84"/>
  <c r="J26" i="84"/>
  <c r="J30" i="84"/>
  <c r="V34" i="84"/>
  <c r="J38" i="84"/>
  <c r="V42" i="84"/>
  <c r="J46" i="84"/>
  <c r="V48" i="84"/>
  <c r="D16" i="85"/>
  <c r="T16" i="85"/>
  <c r="R19" i="85"/>
  <c r="F21" i="85"/>
  <c r="V21" i="85"/>
  <c r="R22" i="85"/>
  <c r="T18" i="86"/>
  <c r="R21" i="86"/>
  <c r="V23" i="86"/>
  <c r="R24" i="86"/>
  <c r="R29" i="86"/>
  <c r="V31" i="86"/>
  <c r="R32" i="86"/>
  <c r="R38" i="86"/>
  <c r="P16" i="87"/>
  <c r="V23" i="87"/>
  <c r="R24" i="87"/>
  <c r="R29" i="87"/>
  <c r="V35" i="87"/>
  <c r="R36" i="87"/>
  <c r="V37" i="87"/>
  <c r="V38" i="87"/>
  <c r="V39" i="87"/>
  <c r="Z42" i="87"/>
  <c r="V48" i="87"/>
  <c r="V57" i="87"/>
  <c r="Z50" i="88"/>
  <c r="N60" i="88"/>
  <c r="V23" i="84"/>
  <c r="J27" i="84"/>
  <c r="J31" i="84"/>
  <c r="V35" i="84"/>
  <c r="V39" i="84"/>
  <c r="J41" i="84"/>
  <c r="J51" i="84"/>
  <c r="J58" i="84"/>
  <c r="F16" i="85"/>
  <c r="V16" i="85"/>
  <c r="V22" i="85"/>
  <c r="R26" i="85"/>
  <c r="R32" i="85"/>
  <c r="V18" i="86"/>
  <c r="V24" i="86"/>
  <c r="V32" i="86"/>
  <c r="V36" i="86"/>
  <c r="V38" i="86"/>
  <c r="V43" i="86"/>
  <c r="R16" i="87"/>
  <c r="V24" i="87"/>
  <c r="R25" i="87"/>
  <c r="N52" i="88"/>
  <c r="N56" i="89"/>
  <c r="N12" i="84"/>
  <c r="J14" i="84"/>
  <c r="J18" i="84"/>
  <c r="J20" i="84"/>
  <c r="V24" i="84"/>
  <c r="V28" i="84"/>
  <c r="J32" i="84"/>
  <c r="V36" i="84"/>
  <c r="V40" i="84"/>
  <c r="J44" i="84"/>
  <c r="J48" i="84"/>
  <c r="X12" i="85"/>
  <c r="F19" i="85"/>
  <c r="V19" i="85"/>
  <c r="R20" i="85"/>
  <c r="F24" i="85"/>
  <c r="F30" i="85"/>
  <c r="X12" i="86"/>
  <c r="R15" i="86"/>
  <c r="V21" i="86"/>
  <c r="R22" i="86"/>
  <c r="R27" i="86"/>
  <c r="V29" i="86"/>
  <c r="R30" i="86"/>
  <c r="R63" i="87"/>
  <c r="R57" i="87"/>
  <c r="R50" i="87"/>
  <c r="R38" i="87"/>
  <c r="R53" i="87"/>
  <c r="R46" i="87"/>
  <c r="R41" i="87"/>
  <c r="R37" i="87"/>
  <c r="R49" i="87"/>
  <c r="R61" i="87"/>
  <c r="R55" i="87"/>
  <c r="R52" i="87"/>
  <c r="R43" i="87"/>
  <c r="R40" i="87"/>
  <c r="R66" i="87"/>
  <c r="R59" i="87"/>
  <c r="T16" i="87"/>
  <c r="R19" i="87"/>
  <c r="V25" i="87"/>
  <c r="R26" i="87"/>
  <c r="V29" i="87"/>
  <c r="R30" i="87"/>
  <c r="R45" i="87"/>
  <c r="R54" i="87"/>
  <c r="Z60" i="88"/>
  <c r="X66" i="88"/>
  <c r="Z75" i="88"/>
  <c r="T96" i="89"/>
  <c r="L54" i="89"/>
  <c r="V20" i="85"/>
  <c r="F26" i="85"/>
  <c r="V26" i="85"/>
  <c r="F32" i="85"/>
  <c r="V30" i="86"/>
  <c r="R34" i="86"/>
  <c r="V53" i="87"/>
  <c r="V49" i="87"/>
  <c r="V41" i="87"/>
  <c r="V52" i="87"/>
  <c r="V40" i="87"/>
  <c r="V36" i="87"/>
  <c r="V66" i="87"/>
  <c r="V61" i="87"/>
  <c r="V59" i="87"/>
  <c r="V55" i="87"/>
  <c r="V43" i="87"/>
  <c r="V54" i="87"/>
  <c r="V42" i="87"/>
  <c r="V45" i="87"/>
  <c r="V16" i="87"/>
  <c r="V26" i="87"/>
  <c r="V30" i="87"/>
  <c r="V46" i="87"/>
  <c r="L57" i="87"/>
  <c r="N18" i="88"/>
  <c r="N26" i="88"/>
  <c r="Z52" i="88"/>
  <c r="L50" i="89"/>
  <c r="N50" i="89" s="1"/>
  <c r="V16" i="84"/>
  <c r="J22" i="84"/>
  <c r="V26" i="84"/>
  <c r="J28" i="84"/>
  <c r="V30" i="84"/>
  <c r="J34" i="84"/>
  <c r="V38" i="84"/>
  <c r="R25" i="86"/>
  <c r="V19" i="87"/>
  <c r="V27" i="87"/>
  <c r="V31" i="87"/>
  <c r="Z66" i="88"/>
  <c r="J82" i="88"/>
  <c r="J64" i="88"/>
  <c r="J91" i="88"/>
  <c r="J85" i="88"/>
  <c r="J81" i="88"/>
  <c r="J75" i="88"/>
  <c r="J79" i="88"/>
  <c r="J84" i="88"/>
  <c r="J78" i="88"/>
  <c r="J74" i="88"/>
  <c r="V30" i="88"/>
  <c r="J34" i="88"/>
  <c r="J38" i="88"/>
  <c r="V42" i="88"/>
  <c r="J46" i="88"/>
  <c r="V50" i="88"/>
  <c r="J52" i="88"/>
  <c r="V58" i="88"/>
  <c r="J60" i="88"/>
  <c r="Z64" i="88"/>
  <c r="N70" i="88"/>
  <c r="L75" i="88"/>
  <c r="N75" i="88" s="1"/>
  <c r="V84" i="88"/>
  <c r="F29" i="89"/>
  <c r="J34" i="89"/>
  <c r="F40" i="89"/>
  <c r="F41" i="89"/>
  <c r="J46" i="89"/>
  <c r="N48" i="89"/>
  <c r="J50" i="89"/>
  <c r="J52" i="89"/>
  <c r="R19" i="90"/>
  <c r="V34" i="90"/>
  <c r="J25" i="88"/>
  <c r="J27" i="88"/>
  <c r="V31" i="88"/>
  <c r="J35" i="88"/>
  <c r="J39" i="88"/>
  <c r="V43" i="88"/>
  <c r="J47" i="88"/>
  <c r="V51" i="88"/>
  <c r="J55" i="88"/>
  <c r="V59" i="88"/>
  <c r="J63" i="88"/>
  <c r="V64" i="88"/>
  <c r="J68" i="88"/>
  <c r="J69" i="88"/>
  <c r="J70" i="88"/>
  <c r="J76" i="88"/>
  <c r="J77" i="88"/>
  <c r="F87" i="89"/>
  <c r="F84" i="89"/>
  <c r="F83" i="89"/>
  <c r="F74" i="89"/>
  <c r="F66" i="89"/>
  <c r="F63" i="89"/>
  <c r="F58" i="89"/>
  <c r="F86" i="89"/>
  <c r="F82" i="89"/>
  <c r="F69" i="89"/>
  <c r="F90" i="89"/>
  <c r="F81" i="89"/>
  <c r="F76" i="89"/>
  <c r="F73" i="89"/>
  <c r="F65" i="89"/>
  <c r="F94" i="89"/>
  <c r="F88" i="89"/>
  <c r="F80" i="89"/>
  <c r="F75" i="89"/>
  <c r="F46" i="89"/>
  <c r="F38" i="89"/>
  <c r="F34" i="89"/>
  <c r="F25" i="89"/>
  <c r="F85" i="89"/>
  <c r="F62" i="89"/>
  <c r="F52" i="89"/>
  <c r="F49" i="89"/>
  <c r="F45" i="89"/>
  <c r="F33" i="89"/>
  <c r="F78" i="89"/>
  <c r="F61" i="89"/>
  <c r="F54" i="89"/>
  <c r="F51" i="89"/>
  <c r="F43" i="89"/>
  <c r="F31" i="89"/>
  <c r="F26" i="89"/>
  <c r="F18" i="89"/>
  <c r="F79" i="89"/>
  <c r="F71" i="89"/>
  <c r="F42" i="89"/>
  <c r="F37" i="89"/>
  <c r="F30" i="89"/>
  <c r="F28" i="89"/>
  <c r="F39" i="89"/>
  <c r="J84" i="89"/>
  <c r="Z85" i="89"/>
  <c r="X85" i="89"/>
  <c r="R94" i="90"/>
  <c r="R88" i="90"/>
  <c r="R87" i="90"/>
  <c r="R82" i="90"/>
  <c r="R75" i="90"/>
  <c r="R42" i="90"/>
  <c r="R84" i="90"/>
  <c r="R80" i="90"/>
  <c r="R40" i="90"/>
  <c r="R69" i="90"/>
  <c r="R68" i="90"/>
  <c r="R67" i="90"/>
  <c r="R47" i="90"/>
  <c r="R45" i="90"/>
  <c r="R44" i="90"/>
  <c r="R43" i="90"/>
  <c r="R37" i="90"/>
  <c r="R32" i="90"/>
  <c r="R23" i="90"/>
  <c r="R66" i="90"/>
  <c r="R61" i="90"/>
  <c r="R57" i="90"/>
  <c r="R46" i="90"/>
  <c r="R31" i="90"/>
  <c r="P23" i="90"/>
  <c r="R86" i="90"/>
  <c r="R85" i="90"/>
  <c r="R60" i="90"/>
  <c r="R56" i="90"/>
  <c r="R51" i="90"/>
  <c r="R50" i="90"/>
  <c r="R30" i="90"/>
  <c r="R83" i="90"/>
  <c r="R79" i="90"/>
  <c r="R77" i="90"/>
  <c r="R76" i="90"/>
  <c r="R55" i="90"/>
  <c r="R29" i="90"/>
  <c r="R21" i="90"/>
  <c r="R81" i="90"/>
  <c r="R78" i="90"/>
  <c r="R65" i="90"/>
  <c r="R54" i="90"/>
  <c r="R36" i="90"/>
  <c r="R28" i="90"/>
  <c r="R25" i="90"/>
  <c r="R20" i="90"/>
  <c r="X12" i="90"/>
  <c r="R59" i="90"/>
  <c r="R41" i="90"/>
  <c r="R73" i="90"/>
  <c r="R62" i="90"/>
  <c r="R48" i="90"/>
  <c r="R38" i="90"/>
  <c r="R70" i="90"/>
  <c r="R39" i="90"/>
  <c r="R74" i="90"/>
  <c r="R64" i="90"/>
  <c r="R49" i="90"/>
  <c r="R35" i="90"/>
  <c r="R34" i="90"/>
  <c r="R58" i="90"/>
  <c r="R26" i="90"/>
  <c r="R18" i="90"/>
  <c r="V23" i="90"/>
  <c r="X37" i="90"/>
  <c r="Z37" i="90" s="1"/>
  <c r="R63" i="90"/>
  <c r="V67" i="90"/>
  <c r="R90" i="90"/>
  <c r="J20" i="88"/>
  <c r="T23" i="88"/>
  <c r="J28" i="88"/>
  <c r="V32" i="88"/>
  <c r="J36" i="88"/>
  <c r="J40" i="88"/>
  <c r="V44" i="88"/>
  <c r="V48" i="88"/>
  <c r="J50" i="88"/>
  <c r="V56" i="88"/>
  <c r="J58" i="88"/>
  <c r="J67" i="88"/>
  <c r="J80" i="88"/>
  <c r="L13" i="89"/>
  <c r="X14" i="89"/>
  <c r="Z14" i="89" s="1"/>
  <c r="P12" i="89"/>
  <c r="D23" i="89"/>
  <c r="J25" i="89"/>
  <c r="F27" i="89"/>
  <c r="F32" i="89"/>
  <c r="Z54" i="89"/>
  <c r="V56" i="89"/>
  <c r="Z58" i="89"/>
  <c r="V60" i="89"/>
  <c r="Z62" i="89"/>
  <c r="N66" i="89"/>
  <c r="V85" i="89"/>
  <c r="V81" i="90"/>
  <c r="V61" i="90"/>
  <c r="V53" i="90"/>
  <c r="V41" i="90"/>
  <c r="V83" i="90"/>
  <c r="V79" i="90"/>
  <c r="V63" i="90"/>
  <c r="V55" i="90"/>
  <c r="V47" i="90"/>
  <c r="V39" i="90"/>
  <c r="V85" i="90"/>
  <c r="V60" i="90"/>
  <c r="V57" i="90"/>
  <c r="V56" i="90"/>
  <c r="V50" i="90"/>
  <c r="V46" i="90"/>
  <c r="V31" i="90"/>
  <c r="V86" i="90"/>
  <c r="V51" i="90"/>
  <c r="V30" i="90"/>
  <c r="V77" i="90"/>
  <c r="V76" i="90"/>
  <c r="V75" i="90"/>
  <c r="V54" i="90"/>
  <c r="V29" i="90"/>
  <c r="V25" i="90"/>
  <c r="V21" i="90"/>
  <c r="V90" i="90"/>
  <c r="V84" i="90"/>
  <c r="V78" i="90"/>
  <c r="V70" i="90"/>
  <c r="V65" i="90"/>
  <c r="V64" i="90"/>
  <c r="V36" i="90"/>
  <c r="V28" i="90"/>
  <c r="V20" i="90"/>
  <c r="Z12" i="90"/>
  <c r="V82" i="90"/>
  <c r="V80" i="90"/>
  <c r="V73" i="90"/>
  <c r="V72" i="90"/>
  <c r="V71" i="90"/>
  <c r="V58" i="90"/>
  <c r="V52" i="90"/>
  <c r="V49" i="90"/>
  <c r="V48" i="90"/>
  <c r="V35" i="90"/>
  <c r="V27" i="90"/>
  <c r="V19" i="90"/>
  <c r="V68" i="90"/>
  <c r="V38" i="90"/>
  <c r="V45" i="90"/>
  <c r="V32" i="90"/>
  <c r="V69" i="90"/>
  <c r="V42" i="90"/>
  <c r="V33" i="90"/>
  <c r="V87" i="90"/>
  <c r="V66" i="90"/>
  <c r="V43" i="90"/>
  <c r="T23" i="90"/>
  <c r="V40" i="90"/>
  <c r="R33" i="90"/>
  <c r="V37" i="90"/>
  <c r="V44" i="90"/>
  <c r="L75" i="90"/>
  <c r="N75" i="90" s="1"/>
  <c r="J75" i="90"/>
  <c r="P12" i="88"/>
  <c r="J21" i="88"/>
  <c r="J29" i="88"/>
  <c r="V33" i="88"/>
  <c r="V37" i="88"/>
  <c r="J41" i="88"/>
  <c r="V45" i="88"/>
  <c r="V49" i="88"/>
  <c r="J53" i="88"/>
  <c r="V57" i="88"/>
  <c r="J61" i="88"/>
  <c r="J87" i="88"/>
  <c r="J83" i="89"/>
  <c r="J90" i="89"/>
  <c r="J86" i="89"/>
  <c r="J82" i="89"/>
  <c r="J76" i="89"/>
  <c r="J60" i="89"/>
  <c r="J81" i="89"/>
  <c r="J73" i="89"/>
  <c r="J65" i="89"/>
  <c r="J94" i="89"/>
  <c r="J88" i="89"/>
  <c r="J80" i="89"/>
  <c r="J72" i="89"/>
  <c r="J68" i="89"/>
  <c r="J85" i="89"/>
  <c r="J79" i="89"/>
  <c r="J75" i="89"/>
  <c r="J49" i="89"/>
  <c r="J45" i="89"/>
  <c r="J33" i="89"/>
  <c r="J87" i="89"/>
  <c r="J77" i="89"/>
  <c r="J70" i="89"/>
  <c r="J69" i="89"/>
  <c r="J67" i="89"/>
  <c r="J57" i="89"/>
  <c r="J54" i="89"/>
  <c r="J44" i="89"/>
  <c r="J32" i="89"/>
  <c r="J26" i="89"/>
  <c r="J18" i="89"/>
  <c r="J71" i="89"/>
  <c r="J56" i="89"/>
  <c r="J48" i="89"/>
  <c r="J42" i="89"/>
  <c r="J30" i="89"/>
  <c r="H23" i="89"/>
  <c r="J64" i="89"/>
  <c r="J53" i="89"/>
  <c r="J41" i="89"/>
  <c r="J29" i="89"/>
  <c r="J21" i="89"/>
  <c r="J23" i="89"/>
  <c r="L25" i="89"/>
  <c r="N25" i="89" s="1"/>
  <c r="J27" i="89"/>
  <c r="J31" i="89"/>
  <c r="J38" i="89"/>
  <c r="J43" i="89"/>
  <c r="F44" i="89"/>
  <c r="X52" i="89"/>
  <c r="Z52" i="89" s="1"/>
  <c r="X56" i="89"/>
  <c r="Z56" i="89" s="1"/>
  <c r="X60" i="89"/>
  <c r="Z60" i="89" s="1"/>
  <c r="F64" i="89"/>
  <c r="J66" i="89"/>
  <c r="J74" i="89"/>
  <c r="L87" i="89"/>
  <c r="N87" i="89" s="1"/>
  <c r="V18" i="90"/>
  <c r="R27" i="90"/>
  <c r="R52" i="90"/>
  <c r="H17" i="91"/>
  <c r="N15" i="91"/>
  <c r="L15" i="91"/>
  <c r="V78" i="88"/>
  <c r="V74" i="88"/>
  <c r="V87" i="88"/>
  <c r="V77" i="88"/>
  <c r="V73" i="88"/>
  <c r="V69" i="88"/>
  <c r="V65" i="88"/>
  <c r="V83" i="88"/>
  <c r="V75" i="88"/>
  <c r="V71" i="88"/>
  <c r="V67" i="88"/>
  <c r="V82" i="88"/>
  <c r="V70" i="88"/>
  <c r="V66" i="88"/>
  <c r="V18" i="88"/>
  <c r="H23" i="88"/>
  <c r="V26" i="88"/>
  <c r="J30" i="88"/>
  <c r="V34" i="88"/>
  <c r="V38" i="88"/>
  <c r="J42" i="88"/>
  <c r="V46" i="88"/>
  <c r="J48" i="88"/>
  <c r="V54" i="88"/>
  <c r="J56" i="88"/>
  <c r="V62" i="88"/>
  <c r="J65" i="88"/>
  <c r="J66" i="88"/>
  <c r="V68" i="88"/>
  <c r="J73" i="88"/>
  <c r="V76" i="88"/>
  <c r="V81" i="88"/>
  <c r="L12" i="89"/>
  <c r="N12" i="89" s="1"/>
  <c r="Z18" i="89"/>
  <c r="F36" i="89"/>
  <c r="X48" i="89"/>
  <c r="Z48" i="89" s="1"/>
  <c r="F59" i="89"/>
  <c r="F70" i="89"/>
  <c r="J78" i="89"/>
  <c r="V23" i="89"/>
  <c r="V33" i="89"/>
  <c r="V37" i="89"/>
  <c r="V45" i="89"/>
  <c r="V49" i="89"/>
  <c r="Z76" i="89"/>
  <c r="F21" i="90"/>
  <c r="H92" i="90"/>
  <c r="N23" i="90"/>
  <c r="F29" i="90"/>
  <c r="L85" i="90"/>
  <c r="N85" i="90" s="1"/>
  <c r="F36" i="92"/>
  <c r="F33" i="92"/>
  <c r="F29" i="92"/>
  <c r="F25" i="92"/>
  <c r="D18" i="92"/>
  <c r="F15" i="92"/>
  <c r="L12" i="92"/>
  <c r="F22" i="92"/>
  <c r="F20" i="92"/>
  <c r="F16" i="92"/>
  <c r="F24" i="92"/>
  <c r="F21" i="92"/>
  <c r="F18" i="92"/>
  <c r="F27" i="92"/>
  <c r="F31" i="92"/>
  <c r="F34" i="92"/>
  <c r="V87" i="89"/>
  <c r="V79" i="89"/>
  <c r="V75" i="89"/>
  <c r="V71" i="89"/>
  <c r="V78" i="89"/>
  <c r="V74" i="89"/>
  <c r="V70" i="89"/>
  <c r="V66" i="89"/>
  <c r="V58" i="89"/>
  <c r="V77" i="89"/>
  <c r="V69" i="89"/>
  <c r="V96" i="89"/>
  <c r="V90" i="89"/>
  <c r="V84" i="89"/>
  <c r="V76" i="89"/>
  <c r="V83" i="89"/>
  <c r="V18" i="89"/>
  <c r="V26" i="89"/>
  <c r="V34" i="89"/>
  <c r="V38" i="89"/>
  <c r="V46" i="89"/>
  <c r="V54" i="89"/>
  <c r="V92" i="89"/>
  <c r="F86" i="90"/>
  <c r="F78" i="90"/>
  <c r="F74" i="90"/>
  <c r="F46" i="90"/>
  <c r="F94" i="90"/>
  <c r="F88" i="90"/>
  <c r="F83" i="90"/>
  <c r="F76" i="90"/>
  <c r="F72" i="90"/>
  <c r="F68" i="90"/>
  <c r="F44" i="90"/>
  <c r="F82" i="90"/>
  <c r="F81" i="90"/>
  <c r="F80" i="90"/>
  <c r="F75" i="90"/>
  <c r="F73" i="90"/>
  <c r="F60" i="90"/>
  <c r="F59" i="90"/>
  <c r="F50" i="90"/>
  <c r="F49" i="90"/>
  <c r="F36" i="90"/>
  <c r="F28" i="90"/>
  <c r="F20" i="90"/>
  <c r="L12" i="90"/>
  <c r="N12" i="90" s="1"/>
  <c r="F54" i="90"/>
  <c r="F53" i="90"/>
  <c r="F35" i="90"/>
  <c r="F27" i="90"/>
  <c r="F19" i="90"/>
  <c r="F64" i="90"/>
  <c r="F63" i="90"/>
  <c r="F41" i="90"/>
  <c r="F40" i="90"/>
  <c r="F39" i="90"/>
  <c r="F34" i="90"/>
  <c r="F25" i="90"/>
  <c r="F90" i="90"/>
  <c r="F70" i="90"/>
  <c r="F69" i="90"/>
  <c r="F67" i="90"/>
  <c r="F48" i="90"/>
  <c r="F45" i="90"/>
  <c r="F43" i="90"/>
  <c r="F42" i="90"/>
  <c r="F38" i="90"/>
  <c r="F33" i="90"/>
  <c r="F87" i="90"/>
  <c r="F62" i="90"/>
  <c r="F58" i="90"/>
  <c r="F57" i="90"/>
  <c r="F52" i="90"/>
  <c r="F51" i="90"/>
  <c r="F47" i="90"/>
  <c r="F32" i="90"/>
  <c r="Z18" i="90"/>
  <c r="Z26" i="90"/>
  <c r="F85" i="90"/>
  <c r="V77" i="91"/>
  <c r="V65" i="91"/>
  <c r="V61" i="91"/>
  <c r="V57" i="91"/>
  <c r="V68" i="91"/>
  <c r="V64" i="91"/>
  <c r="V52" i="91"/>
  <c r="V48" i="91"/>
  <c r="V40" i="91"/>
  <c r="V32" i="91"/>
  <c r="V70" i="91"/>
  <c r="V54" i="91"/>
  <c r="V42" i="91"/>
  <c r="V56" i="91"/>
  <c r="V55" i="91"/>
  <c r="V53" i="91"/>
  <c r="V51" i="91"/>
  <c r="V44" i="91"/>
  <c r="V25" i="91"/>
  <c r="V69" i="91"/>
  <c r="V63" i="91"/>
  <c r="V23" i="91"/>
  <c r="V19" i="91"/>
  <c r="V15" i="91"/>
  <c r="V72" i="91"/>
  <c r="V67" i="91"/>
  <c r="V43" i="91"/>
  <c r="V30" i="91"/>
  <c r="V22" i="91"/>
  <c r="V73" i="91"/>
  <c r="V49" i="91"/>
  <c r="V41" i="91"/>
  <c r="V39" i="91"/>
  <c r="V38" i="91"/>
  <c r="V29" i="91"/>
  <c r="V21" i="91"/>
  <c r="V37" i="91"/>
  <c r="V36" i="91"/>
  <c r="V35" i="91"/>
  <c r="V34" i="91"/>
  <c r="V31" i="91"/>
  <c r="V62" i="91"/>
  <c r="V60" i="91"/>
  <c r="V66" i="91"/>
  <c r="V50" i="91"/>
  <c r="V46" i="91"/>
  <c r="V24" i="91"/>
  <c r="V20" i="91"/>
  <c r="V45" i="91"/>
  <c r="V17" i="91"/>
  <c r="V47" i="91"/>
  <c r="T17" i="91"/>
  <c r="X17" i="91" s="1"/>
  <c r="R64" i="91"/>
  <c r="V20" i="89"/>
  <c r="V28" i="89"/>
  <c r="V36" i="89"/>
  <c r="V40" i="89"/>
  <c r="V52" i="89"/>
  <c r="L66" i="89"/>
  <c r="V82" i="89"/>
  <c r="V88" i="89"/>
  <c r="F37" i="90"/>
  <c r="F61" i="90"/>
  <c r="F77" i="90"/>
  <c r="V21" i="89"/>
  <c r="V25" i="89"/>
  <c r="V29" i="89"/>
  <c r="V41" i="89"/>
  <c r="V53" i="89"/>
  <c r="N62" i="89"/>
  <c r="V65" i="89"/>
  <c r="N85" i="89"/>
  <c r="F18" i="90"/>
  <c r="N37" i="90"/>
  <c r="F55" i="90"/>
  <c r="F66" i="90"/>
  <c r="V58" i="91"/>
  <c r="F31" i="90"/>
  <c r="X48" i="90"/>
  <c r="Z48" i="90" s="1"/>
  <c r="N50" i="90"/>
  <c r="N66" i="90"/>
  <c r="L66" i="90"/>
  <c r="F79" i="90"/>
  <c r="R66" i="91"/>
  <c r="R62" i="91"/>
  <c r="R58" i="91"/>
  <c r="R55" i="91"/>
  <c r="R77" i="91"/>
  <c r="R72" i="91"/>
  <c r="R65" i="91"/>
  <c r="R49" i="91"/>
  <c r="R46" i="91"/>
  <c r="R41" i="91"/>
  <c r="R33" i="91"/>
  <c r="R48" i="91"/>
  <c r="R43" i="91"/>
  <c r="R73" i="91"/>
  <c r="R75" i="91"/>
  <c r="R60" i="91"/>
  <c r="R59" i="91"/>
  <c r="R31" i="91"/>
  <c r="R26" i="91"/>
  <c r="R17" i="91"/>
  <c r="R54" i="91"/>
  <c r="R53" i="91"/>
  <c r="R51" i="91"/>
  <c r="R45" i="91"/>
  <c r="R44" i="91"/>
  <c r="R24" i="91"/>
  <c r="R52" i="91"/>
  <c r="R42" i="91"/>
  <c r="R23" i="91"/>
  <c r="R70" i="91"/>
  <c r="R69" i="91"/>
  <c r="R63" i="91"/>
  <c r="R40" i="91"/>
  <c r="R30" i="91"/>
  <c r="R22" i="91"/>
  <c r="R19" i="91"/>
  <c r="R15" i="91"/>
  <c r="X12" i="91"/>
  <c r="Z12" i="91" s="1"/>
  <c r="R67" i="91"/>
  <c r="R38" i="91"/>
  <c r="R37" i="91"/>
  <c r="R36" i="91"/>
  <c r="R35" i="91"/>
  <c r="R34" i="91"/>
  <c r="R57" i="91"/>
  <c r="R56" i="91"/>
  <c r="R50" i="91"/>
  <c r="R39" i="91"/>
  <c r="R25" i="91"/>
  <c r="R32" i="91"/>
  <c r="R20" i="91"/>
  <c r="R28" i="91"/>
  <c r="L13" i="94"/>
  <c r="J23" i="90"/>
  <c r="J31" i="90"/>
  <c r="J37" i="90"/>
  <c r="J46" i="90"/>
  <c r="L48" i="90"/>
  <c r="N48" i="90" s="1"/>
  <c r="J61" i="90"/>
  <c r="L13" i="91"/>
  <c r="N13" i="91" s="1"/>
  <c r="D12" i="91"/>
  <c r="Z19" i="91"/>
  <c r="J35" i="91"/>
  <c r="J37" i="91"/>
  <c r="J51" i="91"/>
  <c r="J26" i="90"/>
  <c r="J32" i="90"/>
  <c r="J44" i="90"/>
  <c r="J47" i="90"/>
  <c r="J68" i="90"/>
  <c r="Z20" i="91"/>
  <c r="J30" i="91"/>
  <c r="N31" i="91"/>
  <c r="N44" i="91"/>
  <c r="N55" i="91"/>
  <c r="Z24" i="93"/>
  <c r="X24" i="93"/>
  <c r="J33" i="90"/>
  <c r="J38" i="90"/>
  <c r="J42" i="90"/>
  <c r="J52" i="90"/>
  <c r="J58" i="90"/>
  <c r="J62" i="90"/>
  <c r="J87" i="90"/>
  <c r="J88" i="90"/>
  <c r="J67" i="91"/>
  <c r="J63" i="91"/>
  <c r="J73" i="91"/>
  <c r="J60" i="91"/>
  <c r="J56" i="91"/>
  <c r="J42" i="91"/>
  <c r="J36" i="91"/>
  <c r="J66" i="91"/>
  <c r="J62" i="91"/>
  <c r="J58" i="91"/>
  <c r="J50" i="91"/>
  <c r="J44" i="91"/>
  <c r="J72" i="91"/>
  <c r="J68" i="91"/>
  <c r="J65" i="91"/>
  <c r="J48" i="91"/>
  <c r="J39" i="91"/>
  <c r="J38" i="91"/>
  <c r="J29" i="91"/>
  <c r="J21" i="91"/>
  <c r="J19" i="91"/>
  <c r="J15" i="91"/>
  <c r="J47" i="91"/>
  <c r="J46" i="91"/>
  <c r="J34" i="91"/>
  <c r="J33" i="91"/>
  <c r="J32" i="91"/>
  <c r="J27" i="91"/>
  <c r="J59" i="91"/>
  <c r="J57" i="91"/>
  <c r="J26" i="91"/>
  <c r="J20" i="91"/>
  <c r="J55" i="91"/>
  <c r="J53" i="91"/>
  <c r="J31" i="91"/>
  <c r="J25" i="91"/>
  <c r="X15" i="91"/>
  <c r="J23" i="91"/>
  <c r="J28" i="91"/>
  <c r="J43" i="91"/>
  <c r="J49" i="91"/>
  <c r="J54" i="91"/>
  <c r="J83" i="90"/>
  <c r="J77" i="90"/>
  <c r="J73" i="90"/>
  <c r="J69" i="90"/>
  <c r="J65" i="90"/>
  <c r="J57" i="90"/>
  <c r="J49" i="90"/>
  <c r="J45" i="90"/>
  <c r="J85" i="90"/>
  <c r="J71" i="90"/>
  <c r="J67" i="90"/>
  <c r="J59" i="90"/>
  <c r="J51" i="90"/>
  <c r="J43" i="90"/>
  <c r="J34" i="90"/>
  <c r="J39" i="90"/>
  <c r="J40" i="90"/>
  <c r="J41" i="90"/>
  <c r="J48" i="90"/>
  <c r="J63" i="90"/>
  <c r="J70" i="90"/>
  <c r="J74" i="90"/>
  <c r="X83" i="90"/>
  <c r="Z83" i="90" s="1"/>
  <c r="Z85" i="90"/>
  <c r="J90" i="90"/>
  <c r="J94" i="90"/>
  <c r="X13" i="91"/>
  <c r="Z13" i="91" s="1"/>
  <c r="J22" i="91"/>
  <c r="J41" i="91"/>
  <c r="Z44" i="91"/>
  <c r="X46" i="91"/>
  <c r="Z46" i="91" s="1"/>
  <c r="J70" i="91"/>
  <c r="J77" i="91"/>
  <c r="X21" i="92"/>
  <c r="Z21" i="92"/>
  <c r="J53" i="90"/>
  <c r="L56" i="90"/>
  <c r="N56" i="90" s="1"/>
  <c r="X62" i="90"/>
  <c r="Z62" i="90" s="1"/>
  <c r="J64" i="90"/>
  <c r="J72" i="90"/>
  <c r="X44" i="91"/>
  <c r="Z72" i="91"/>
  <c r="T27" i="92"/>
  <c r="N46" i="91"/>
  <c r="X53" i="91"/>
  <c r="Z53" i="91" s="1"/>
  <c r="H27" i="93"/>
  <c r="N18" i="93"/>
  <c r="Z42" i="91"/>
  <c r="L20" i="92"/>
  <c r="X13" i="93"/>
  <c r="R36" i="93"/>
  <c r="R33" i="93"/>
  <c r="R29" i="93"/>
  <c r="R25" i="93"/>
  <c r="P18" i="93"/>
  <c r="R15" i="93"/>
  <c r="R22" i="93"/>
  <c r="R20" i="93"/>
  <c r="R16" i="93"/>
  <c r="R24" i="93"/>
  <c r="R21" i="93"/>
  <c r="R18" i="93"/>
  <c r="R31" i="93"/>
  <c r="R34" i="93"/>
  <c r="L15" i="92"/>
  <c r="H18" i="92"/>
  <c r="J16" i="93"/>
  <c r="J20" i="93"/>
  <c r="N18" i="94"/>
  <c r="R22" i="94"/>
  <c r="J24" i="94"/>
  <c r="Z24" i="94"/>
  <c r="H27" i="94"/>
  <c r="R27" i="92"/>
  <c r="R31" i="92"/>
  <c r="R34" i="92"/>
  <c r="L12" i="93"/>
  <c r="F15" i="93"/>
  <c r="D18" i="93"/>
  <c r="T18" i="93"/>
  <c r="F25" i="93"/>
  <c r="F29" i="93"/>
  <c r="F33" i="93"/>
  <c r="F36" i="93"/>
  <c r="R15" i="94"/>
  <c r="P18" i="94"/>
  <c r="R25" i="94"/>
  <c r="R29" i="94"/>
  <c r="R33" i="94"/>
  <c r="R36" i="94"/>
  <c r="R16" i="92"/>
  <c r="Z18" i="92"/>
  <c r="R20" i="92"/>
  <c r="V24" i="92"/>
  <c r="N12" i="93"/>
  <c r="F18" i="93"/>
  <c r="V18" i="93"/>
  <c r="J22" i="93"/>
  <c r="J16" i="94"/>
  <c r="R18" i="94"/>
  <c r="J20" i="94"/>
  <c r="F22" i="94"/>
  <c r="R21" i="94"/>
  <c r="F25" i="94"/>
  <c r="V25" i="94"/>
  <c r="F29" i="94"/>
  <c r="V29" i="94"/>
  <c r="F33" i="94"/>
  <c r="V33" i="94"/>
  <c r="F36" i="94"/>
  <c r="V36" i="94"/>
  <c r="Z12" i="92"/>
  <c r="V16" i="92"/>
  <c r="V20" i="92"/>
  <c r="R22" i="92"/>
  <c r="J18" i="93"/>
  <c r="F24" i="93"/>
  <c r="V24" i="93"/>
  <c r="N12" i="94"/>
  <c r="F18" i="94"/>
  <c r="J22" i="94"/>
  <c r="R24" i="94"/>
  <c r="J25" i="94"/>
  <c r="R27" i="94"/>
  <c r="J29" i="94"/>
  <c r="R31" i="94"/>
  <c r="J33" i="94"/>
  <c r="R34" i="94"/>
  <c r="J36" i="94"/>
  <c r="J16" i="92"/>
  <c r="Z12" i="93"/>
  <c r="F16" i="93"/>
  <c r="V16" i="93"/>
  <c r="J24" i="93"/>
  <c r="R16" i="94"/>
  <c r="Z18" i="94"/>
  <c r="R20" i="94"/>
  <c r="J27" i="93"/>
  <c r="J31" i="93"/>
  <c r="L18" i="10" l="1"/>
  <c r="P27" i="92"/>
  <c r="Z18" i="23"/>
  <c r="X18" i="40"/>
  <c r="X18" i="35"/>
  <c r="N18" i="28"/>
  <c r="L18" i="26"/>
  <c r="Z18" i="46"/>
  <c r="L18" i="34"/>
  <c r="T31" i="46"/>
  <c r="L27" i="94"/>
  <c r="Z18" i="26"/>
  <c r="Z18" i="53"/>
  <c r="T31" i="53"/>
  <c r="L27" i="19"/>
  <c r="P27" i="53"/>
  <c r="X27" i="53" s="1"/>
  <c r="T27" i="10"/>
  <c r="N27" i="19"/>
  <c r="L18" i="49"/>
  <c r="Z18" i="43"/>
  <c r="X18" i="43"/>
  <c r="Z27" i="43"/>
  <c r="N18" i="37"/>
  <c r="T27" i="14"/>
  <c r="Z27" i="14" s="1"/>
  <c r="X18" i="8"/>
  <c r="L18" i="17"/>
  <c r="Z27" i="94"/>
  <c r="T31" i="4"/>
  <c r="T36" i="4" s="1"/>
  <c r="Z36" i="4" s="1"/>
  <c r="X18" i="5"/>
  <c r="Z18" i="4"/>
  <c r="N27" i="49"/>
  <c r="H31" i="49"/>
  <c r="H36" i="49" s="1"/>
  <c r="N36" i="49" s="1"/>
  <c r="T27" i="16"/>
  <c r="Z27" i="16" s="1"/>
  <c r="X18" i="4"/>
  <c r="L18" i="4"/>
  <c r="X18" i="46"/>
  <c r="L18" i="94"/>
  <c r="N18" i="41"/>
  <c r="H27" i="41"/>
  <c r="L18" i="38"/>
  <c r="D27" i="38"/>
  <c r="L18" i="19"/>
  <c r="Z18" i="86"/>
  <c r="T36" i="86"/>
  <c r="H30" i="75"/>
  <c r="L27" i="49"/>
  <c r="D31" i="49"/>
  <c r="T27" i="31"/>
  <c r="Z18" i="31"/>
  <c r="T27" i="17"/>
  <c r="Z18" i="17"/>
  <c r="H27" i="92"/>
  <c r="N18" i="92"/>
  <c r="F70" i="91"/>
  <c r="F61" i="91"/>
  <c r="F57" i="91"/>
  <c r="F54" i="91"/>
  <c r="F48" i="91"/>
  <c r="F45" i="91"/>
  <c r="F37" i="91"/>
  <c r="F59" i="91"/>
  <c r="F47" i="91"/>
  <c r="F42" i="91"/>
  <c r="F77" i="91"/>
  <c r="F73" i="91"/>
  <c r="F72" i="91"/>
  <c r="F64" i="91"/>
  <c r="F62" i="91"/>
  <c r="F51" i="91"/>
  <c r="F50" i="91"/>
  <c r="F49" i="91"/>
  <c r="F41" i="91"/>
  <c r="F40" i="91"/>
  <c r="F30" i="91"/>
  <c r="F22" i="91"/>
  <c r="L12" i="91"/>
  <c r="N12" i="91" s="1"/>
  <c r="F69" i="91"/>
  <c r="F68" i="91"/>
  <c r="F65" i="91"/>
  <c r="F63" i="91"/>
  <c r="F67" i="91"/>
  <c r="F66" i="91"/>
  <c r="F58" i="91"/>
  <c r="F35" i="91"/>
  <c r="F28" i="91"/>
  <c r="F19" i="91"/>
  <c r="F15" i="91"/>
  <c r="F60" i="91"/>
  <c r="F34" i="91"/>
  <c r="F33" i="91"/>
  <c r="F32" i="91"/>
  <c r="F27" i="91"/>
  <c r="F56" i="91"/>
  <c r="F46" i="91"/>
  <c r="F26" i="91"/>
  <c r="F53" i="91"/>
  <c r="F21" i="91"/>
  <c r="F20" i="91"/>
  <c r="F17" i="91"/>
  <c r="D17" i="91"/>
  <c r="F29" i="91"/>
  <c r="F43" i="91"/>
  <c r="F23" i="91"/>
  <c r="F55" i="91"/>
  <c r="F44" i="91"/>
  <c r="F38" i="91"/>
  <c r="F36" i="91"/>
  <c r="F31" i="91"/>
  <c r="F52" i="91"/>
  <c r="F25" i="91"/>
  <c r="F24" i="91"/>
  <c r="F39" i="91"/>
  <c r="D27" i="92"/>
  <c r="L18" i="92"/>
  <c r="H96" i="90"/>
  <c r="J92" i="90"/>
  <c r="R84" i="88"/>
  <c r="R79" i="88"/>
  <c r="R78" i="88"/>
  <c r="R74" i="88"/>
  <c r="R87" i="88"/>
  <c r="R76" i="88"/>
  <c r="R72" i="88"/>
  <c r="R68" i="88"/>
  <c r="R83" i="88"/>
  <c r="R71" i="88"/>
  <c r="R67" i="88"/>
  <c r="R80" i="88"/>
  <c r="R75" i="88"/>
  <c r="R63" i="88"/>
  <c r="R60" i="88"/>
  <c r="R55" i="88"/>
  <c r="R52" i="88"/>
  <c r="R47" i="88"/>
  <c r="R39" i="88"/>
  <c r="R35" i="88"/>
  <c r="R27" i="88"/>
  <c r="R19" i="88"/>
  <c r="R81" i="88"/>
  <c r="R77" i="88"/>
  <c r="R70" i="88"/>
  <c r="R69" i="88"/>
  <c r="R46" i="88"/>
  <c r="R38" i="88"/>
  <c r="R34" i="88"/>
  <c r="R91" i="88"/>
  <c r="R62" i="88"/>
  <c r="R57" i="88"/>
  <c r="R54" i="88"/>
  <c r="R49" i="88"/>
  <c r="R45" i="88"/>
  <c r="R33" i="88"/>
  <c r="R26" i="88"/>
  <c r="R18" i="88"/>
  <c r="R82" i="88"/>
  <c r="R44" i="88"/>
  <c r="R37" i="88"/>
  <c r="R32" i="88"/>
  <c r="R59" i="88"/>
  <c r="R56" i="88"/>
  <c r="R51" i="88"/>
  <c r="R48" i="88"/>
  <c r="R43" i="88"/>
  <c r="R31" i="88"/>
  <c r="P23" i="88"/>
  <c r="R23" i="88" s="1"/>
  <c r="R65" i="88"/>
  <c r="R40" i="88"/>
  <c r="R66" i="88"/>
  <c r="R41" i="88"/>
  <c r="R20" i="88"/>
  <c r="R42" i="88"/>
  <c r="R28" i="88"/>
  <c r="R21" i="88"/>
  <c r="R85" i="88"/>
  <c r="R53" i="88"/>
  <c r="R36" i="88"/>
  <c r="X12" i="88"/>
  <c r="Z12" i="88" s="1"/>
  <c r="R64" i="88"/>
  <c r="R61" i="88"/>
  <c r="R29" i="88"/>
  <c r="R73" i="88"/>
  <c r="R25" i="88"/>
  <c r="R30" i="88"/>
  <c r="R58" i="88"/>
  <c r="R50" i="88"/>
  <c r="T92" i="90"/>
  <c r="T59" i="87"/>
  <c r="Z16" i="87"/>
  <c r="X18" i="86"/>
  <c r="D96" i="90"/>
  <c r="L92" i="90"/>
  <c r="N92" i="90" s="1"/>
  <c r="P32" i="85"/>
  <c r="N16" i="80"/>
  <c r="H28" i="80"/>
  <c r="F38" i="86"/>
  <c r="F32" i="86"/>
  <c r="F27" i="86"/>
  <c r="F24" i="86"/>
  <c r="F15" i="86"/>
  <c r="F29" i="86"/>
  <c r="F26" i="86"/>
  <c r="F21" i="86"/>
  <c r="F18" i="86"/>
  <c r="F31" i="86"/>
  <c r="F28" i="86"/>
  <c r="F23" i="86"/>
  <c r="D18" i="86"/>
  <c r="F16" i="86"/>
  <c r="F30" i="86"/>
  <c r="F22" i="86"/>
  <c r="F34" i="86"/>
  <c r="F20" i="86"/>
  <c r="L12" i="86"/>
  <c r="F25" i="86"/>
  <c r="T30" i="75"/>
  <c r="H26" i="77"/>
  <c r="N16" i="77"/>
  <c r="J22" i="75"/>
  <c r="D32" i="81"/>
  <c r="Z30" i="77"/>
  <c r="T33" i="77"/>
  <c r="Z33" i="77" s="1"/>
  <c r="H75" i="68"/>
  <c r="J23" i="68"/>
  <c r="X23" i="68"/>
  <c r="P75" i="68"/>
  <c r="R23" i="68"/>
  <c r="R83" i="65"/>
  <c r="D110" i="67"/>
  <c r="L40" i="67"/>
  <c r="N40" i="67" s="1"/>
  <c r="X16" i="61"/>
  <c r="P57" i="61"/>
  <c r="Z16" i="59"/>
  <c r="T66" i="59"/>
  <c r="D66" i="59"/>
  <c r="L16" i="59"/>
  <c r="P105" i="62"/>
  <c r="H79" i="51"/>
  <c r="H26" i="54"/>
  <c r="L26" i="54" s="1"/>
  <c r="N22" i="54"/>
  <c r="F68" i="51"/>
  <c r="F81" i="51"/>
  <c r="F76" i="51"/>
  <c r="F74" i="51"/>
  <c r="F72" i="51"/>
  <c r="F48" i="51"/>
  <c r="F66" i="51"/>
  <c r="F63" i="51"/>
  <c r="F58" i="51"/>
  <c r="F55" i="51"/>
  <c r="F47" i="51"/>
  <c r="F77" i="51"/>
  <c r="F75" i="51"/>
  <c r="F39" i="51"/>
  <c r="F34" i="51"/>
  <c r="F23" i="51"/>
  <c r="F45" i="51"/>
  <c r="F38" i="51"/>
  <c r="F22" i="51"/>
  <c r="L12" i="51"/>
  <c r="N12" i="51" s="1"/>
  <c r="F64" i="51"/>
  <c r="F57" i="51"/>
  <c r="F37" i="51"/>
  <c r="D31" i="51"/>
  <c r="F31" i="51" s="1"/>
  <c r="F29" i="51"/>
  <c r="F21" i="51"/>
  <c r="F44" i="51"/>
  <c r="F36" i="51"/>
  <c r="F28" i="51"/>
  <c r="F20" i="51"/>
  <c r="F67" i="51"/>
  <c r="F43" i="51"/>
  <c r="F35" i="51"/>
  <c r="F27" i="51"/>
  <c r="F69" i="51"/>
  <c r="F62" i="51"/>
  <c r="F56" i="51"/>
  <c r="F54" i="51"/>
  <c r="F51" i="51"/>
  <c r="F50" i="51"/>
  <c r="F46" i="51"/>
  <c r="F42" i="51"/>
  <c r="F33" i="51"/>
  <c r="F26" i="51"/>
  <c r="F71" i="51"/>
  <c r="F70" i="51"/>
  <c r="F61" i="51"/>
  <c r="F53" i="51"/>
  <c r="F52" i="51"/>
  <c r="F49" i="51"/>
  <c r="F41" i="51"/>
  <c r="F25" i="51"/>
  <c r="F65" i="51"/>
  <c r="F60" i="51"/>
  <c r="F59" i="51"/>
  <c r="F40" i="51"/>
  <c r="F24" i="51"/>
  <c r="F19" i="51"/>
  <c r="P27" i="50"/>
  <c r="X18" i="50"/>
  <c r="H27" i="43"/>
  <c r="N18" i="43"/>
  <c r="P38" i="55"/>
  <c r="L18" i="44"/>
  <c r="D27" i="44"/>
  <c r="D31" i="54"/>
  <c r="T27" i="52"/>
  <c r="Z18" i="52"/>
  <c r="X27" i="43"/>
  <c r="P31" i="43"/>
  <c r="L18" i="41"/>
  <c r="D27" i="41"/>
  <c r="H27" i="35"/>
  <c r="N18" i="35"/>
  <c r="T31" i="34"/>
  <c r="Z27" i="34"/>
  <c r="R73" i="33"/>
  <c r="R69" i="33"/>
  <c r="R52" i="33"/>
  <c r="R49" i="33"/>
  <c r="R64" i="33"/>
  <c r="R55" i="33"/>
  <c r="R54" i="33"/>
  <c r="R51" i="33"/>
  <c r="R46" i="33"/>
  <c r="R65" i="33"/>
  <c r="R41" i="33"/>
  <c r="R29" i="33"/>
  <c r="R21" i="33"/>
  <c r="R72" i="33"/>
  <c r="R70" i="33"/>
  <c r="R66" i="33"/>
  <c r="R53" i="33"/>
  <c r="R40" i="33"/>
  <c r="R28" i="33"/>
  <c r="R25" i="33"/>
  <c r="R20" i="33"/>
  <c r="R67" i="33"/>
  <c r="R39" i="33"/>
  <c r="R35" i="33"/>
  <c r="R27" i="33"/>
  <c r="R68" i="33"/>
  <c r="R63" i="33"/>
  <c r="R62" i="33"/>
  <c r="R59" i="33"/>
  <c r="R58" i="33"/>
  <c r="R38" i="33"/>
  <c r="R34" i="33"/>
  <c r="R19" i="33"/>
  <c r="R61" i="33"/>
  <c r="R60" i="33"/>
  <c r="R57" i="33"/>
  <c r="R56" i="33"/>
  <c r="R50" i="33"/>
  <c r="R37" i="33"/>
  <c r="R33" i="33"/>
  <c r="R26" i="33"/>
  <c r="R48" i="33"/>
  <c r="R47" i="33"/>
  <c r="R45" i="33"/>
  <c r="R44" i="33"/>
  <c r="R32" i="33"/>
  <c r="R77" i="33"/>
  <c r="R43" i="33"/>
  <c r="R36" i="33"/>
  <c r="R31" i="33"/>
  <c r="P23" i="33"/>
  <c r="R23" i="33" s="1"/>
  <c r="R42" i="33"/>
  <c r="R30" i="33"/>
  <c r="X12" i="33"/>
  <c r="Z12" i="33" s="1"/>
  <c r="P31" i="34"/>
  <c r="X27" i="34"/>
  <c r="L18" i="31"/>
  <c r="D27" i="31"/>
  <c r="T121" i="36"/>
  <c r="D31" i="29"/>
  <c r="X18" i="25"/>
  <c r="P27" i="25"/>
  <c r="D122" i="30"/>
  <c r="L40" i="30"/>
  <c r="X23" i="21"/>
  <c r="Z23" i="21" s="1"/>
  <c r="P92" i="21"/>
  <c r="L18" i="22"/>
  <c r="D27" i="22"/>
  <c r="L18" i="11"/>
  <c r="D27" i="11"/>
  <c r="T151" i="15"/>
  <c r="D27" i="7"/>
  <c r="L18" i="7"/>
  <c r="N16" i="6"/>
  <c r="H22" i="6"/>
  <c r="F144" i="15"/>
  <c r="N18" i="7"/>
  <c r="H27" i="7"/>
  <c r="T27" i="5"/>
  <c r="X27" i="5" s="1"/>
  <c r="Z18" i="5"/>
  <c r="R134" i="15"/>
  <c r="R146" i="15"/>
  <c r="R140" i="15"/>
  <c r="R136" i="15"/>
  <c r="R132" i="15"/>
  <c r="R127" i="15"/>
  <c r="R123" i="15"/>
  <c r="R119" i="15"/>
  <c r="R115" i="15"/>
  <c r="R111" i="15"/>
  <c r="R95" i="15"/>
  <c r="R83" i="15"/>
  <c r="R67" i="15"/>
  <c r="R63" i="15"/>
  <c r="R55" i="15"/>
  <c r="R52" i="15"/>
  <c r="R47" i="15"/>
  <c r="R39" i="15"/>
  <c r="R31" i="15"/>
  <c r="R23" i="15"/>
  <c r="R153" i="15"/>
  <c r="R142" i="15"/>
  <c r="R141" i="15"/>
  <c r="R139" i="15"/>
  <c r="R125" i="15"/>
  <c r="R113" i="15"/>
  <c r="R109" i="15"/>
  <c r="R97" i="15"/>
  <c r="R85" i="15"/>
  <c r="R73" i="15"/>
  <c r="R65" i="15"/>
  <c r="R61" i="15"/>
  <c r="R45" i="15"/>
  <c r="R37" i="15"/>
  <c r="R29" i="15"/>
  <c r="R148" i="15"/>
  <c r="R138" i="15"/>
  <c r="R137" i="15"/>
  <c r="R121" i="15"/>
  <c r="R117" i="15"/>
  <c r="R108" i="15"/>
  <c r="R105" i="15"/>
  <c r="R100" i="15"/>
  <c r="R93" i="15"/>
  <c r="R88" i="15"/>
  <c r="R81" i="15"/>
  <c r="R76" i="15"/>
  <c r="R72" i="15"/>
  <c r="R60" i="15"/>
  <c r="R53" i="15"/>
  <c r="R44" i="15"/>
  <c r="R36" i="15"/>
  <c r="R28" i="15"/>
  <c r="R21" i="15"/>
  <c r="R135" i="15"/>
  <c r="R131" i="15"/>
  <c r="R124" i="15"/>
  <c r="R112" i="15"/>
  <c r="R96" i="15"/>
  <c r="R84" i="15"/>
  <c r="R71" i="15"/>
  <c r="R64" i="15"/>
  <c r="R59" i="15"/>
  <c r="R43" i="15"/>
  <c r="R35" i="15"/>
  <c r="R27" i="15"/>
  <c r="R147" i="15"/>
  <c r="R130" i="15"/>
  <c r="R107" i="15"/>
  <c r="R102" i="15"/>
  <c r="R99" i="15"/>
  <c r="R90" i="15"/>
  <c r="R87" i="15"/>
  <c r="R78" i="15"/>
  <c r="R75" i="15"/>
  <c r="R70" i="15"/>
  <c r="R58" i="15"/>
  <c r="P50" i="15"/>
  <c r="R50" i="15" s="1"/>
  <c r="R42" i="15"/>
  <c r="R34" i="15"/>
  <c r="R26" i="15"/>
  <c r="X12" i="15"/>
  <c r="Z12" i="15" s="1"/>
  <c r="R133" i="15"/>
  <c r="R129" i="15"/>
  <c r="R69" i="15"/>
  <c r="R57" i="15"/>
  <c r="R41" i="15"/>
  <c r="R33" i="15"/>
  <c r="R25" i="15"/>
  <c r="R145" i="15"/>
  <c r="R128" i="15"/>
  <c r="R120" i="15"/>
  <c r="R116" i="15"/>
  <c r="R104" i="15"/>
  <c r="R101" i="15"/>
  <c r="R92" i="15"/>
  <c r="R89" i="15"/>
  <c r="R80" i="15"/>
  <c r="R77" i="15"/>
  <c r="R68" i="15"/>
  <c r="R56" i="15"/>
  <c r="R48" i="15"/>
  <c r="R40" i="15"/>
  <c r="R32" i="15"/>
  <c r="R24" i="15"/>
  <c r="R86" i="15"/>
  <c r="R114" i="15"/>
  <c r="R94" i="15"/>
  <c r="R91" i="15"/>
  <c r="R144" i="15"/>
  <c r="R126" i="15"/>
  <c r="R54" i="15"/>
  <c r="R62" i="15"/>
  <c r="R38" i="15"/>
  <c r="R22" i="15"/>
  <c r="R118" i="15"/>
  <c r="R106" i="15"/>
  <c r="R103" i="15"/>
  <c r="R98" i="15"/>
  <c r="R149" i="15"/>
  <c r="R110" i="15"/>
  <c r="R82" i="15"/>
  <c r="R79" i="15"/>
  <c r="R74" i="15"/>
  <c r="R66" i="15"/>
  <c r="R122" i="15"/>
  <c r="R46" i="15"/>
  <c r="R30" i="15"/>
  <c r="T86" i="73"/>
  <c r="V21" i="73"/>
  <c r="T36" i="49"/>
  <c r="Z36" i="49" s="1"/>
  <c r="Z31" i="49"/>
  <c r="D31" i="4"/>
  <c r="P26" i="6"/>
  <c r="X22" i="6"/>
  <c r="H89" i="88"/>
  <c r="J23" i="88"/>
  <c r="P51" i="84"/>
  <c r="X16" i="84"/>
  <c r="H94" i="82"/>
  <c r="J23" i="82"/>
  <c r="D51" i="84"/>
  <c r="L16" i="84"/>
  <c r="T30" i="79"/>
  <c r="Z16" i="79"/>
  <c r="R20" i="75"/>
  <c r="R24" i="75"/>
  <c r="R19" i="75"/>
  <c r="R32" i="75"/>
  <c r="R26" i="75"/>
  <c r="R18" i="75"/>
  <c r="X12" i="75"/>
  <c r="Z12" i="75" s="1"/>
  <c r="R25" i="75"/>
  <c r="R17" i="75"/>
  <c r="R28" i="75"/>
  <c r="P22" i="75"/>
  <c r="N24" i="74"/>
  <c r="H90" i="74"/>
  <c r="P34" i="79"/>
  <c r="X30" i="79"/>
  <c r="H90" i="73"/>
  <c r="X16" i="64"/>
  <c r="P37" i="64"/>
  <c r="T93" i="65"/>
  <c r="D37" i="64"/>
  <c r="L16" i="64"/>
  <c r="H31" i="55"/>
  <c r="N16" i="55"/>
  <c r="T31" i="55"/>
  <c r="Z16" i="55"/>
  <c r="H27" i="47"/>
  <c r="N18" i="47"/>
  <c r="Z23" i="45"/>
  <c r="T99" i="45"/>
  <c r="T36" i="53"/>
  <c r="Z36" i="53" s="1"/>
  <c r="Z31" i="53"/>
  <c r="T27" i="44"/>
  <c r="Z18" i="44"/>
  <c r="R102" i="36"/>
  <c r="R98" i="36"/>
  <c r="R87" i="36"/>
  <c r="R82" i="36"/>
  <c r="R79" i="36"/>
  <c r="R75" i="36"/>
  <c r="R70" i="36"/>
  <c r="R67" i="36"/>
  <c r="R62" i="36"/>
  <c r="R59" i="36"/>
  <c r="R46" i="36"/>
  <c r="R39" i="36"/>
  <c r="R34" i="36"/>
  <c r="R112" i="36"/>
  <c r="R105" i="36"/>
  <c r="R97" i="36"/>
  <c r="R90" i="36"/>
  <c r="R53" i="36"/>
  <c r="R50" i="36"/>
  <c r="R45" i="36"/>
  <c r="R33" i="36"/>
  <c r="P25" i="36"/>
  <c r="R114" i="36"/>
  <c r="R108" i="36"/>
  <c r="R101" i="36"/>
  <c r="R96" i="36"/>
  <c r="R81" i="36"/>
  <c r="R72" i="36"/>
  <c r="R69" i="36"/>
  <c r="R64" i="36"/>
  <c r="R61" i="36"/>
  <c r="R44" i="36"/>
  <c r="R32" i="36"/>
  <c r="X12" i="36"/>
  <c r="Z12" i="36" s="1"/>
  <c r="R119" i="36"/>
  <c r="R107" i="36"/>
  <c r="R104" i="36"/>
  <c r="R95" i="36"/>
  <c r="R55" i="36"/>
  <c r="R52" i="36"/>
  <c r="R43" i="36"/>
  <c r="R31" i="36"/>
  <c r="R23" i="36"/>
  <c r="R110" i="36"/>
  <c r="R94" i="36"/>
  <c r="R86" i="36"/>
  <c r="R78" i="36"/>
  <c r="R74" i="36"/>
  <c r="R71" i="36"/>
  <c r="R66" i="36"/>
  <c r="R63" i="36"/>
  <c r="R58" i="36"/>
  <c r="R42" i="36"/>
  <c r="R38" i="36"/>
  <c r="R30" i="36"/>
  <c r="R27" i="36"/>
  <c r="R22" i="36"/>
  <c r="R113" i="36"/>
  <c r="R106" i="36"/>
  <c r="R93" i="36"/>
  <c r="R89" i="36"/>
  <c r="R85" i="36"/>
  <c r="R77" i="36"/>
  <c r="R57" i="36"/>
  <c r="R54" i="36"/>
  <c r="R49" i="36"/>
  <c r="R41" i="36"/>
  <c r="R37" i="36"/>
  <c r="R29" i="36"/>
  <c r="R21" i="36"/>
  <c r="R109" i="36"/>
  <c r="R100" i="36"/>
  <c r="R92" i="36"/>
  <c r="R88" i="36"/>
  <c r="R84" i="36"/>
  <c r="R80" i="36"/>
  <c r="R76" i="36"/>
  <c r="R73" i="36"/>
  <c r="R68" i="36"/>
  <c r="R65" i="36"/>
  <c r="R60" i="36"/>
  <c r="R48" i="36"/>
  <c r="R40" i="36"/>
  <c r="R36" i="36"/>
  <c r="R83" i="36"/>
  <c r="R51" i="36"/>
  <c r="R28" i="36"/>
  <c r="R103" i="36"/>
  <c r="R91" i="36"/>
  <c r="R115" i="36"/>
  <c r="R35" i="36"/>
  <c r="R20" i="36"/>
  <c r="R99" i="36"/>
  <c r="R56" i="36"/>
  <c r="R47" i="36"/>
  <c r="X18" i="41"/>
  <c r="P27" i="41"/>
  <c r="H115" i="39"/>
  <c r="R120" i="30"/>
  <c r="R108" i="30"/>
  <c r="R96" i="30"/>
  <c r="R92" i="30"/>
  <c r="R80" i="30"/>
  <c r="R56" i="30"/>
  <c r="R52" i="30"/>
  <c r="R44" i="30"/>
  <c r="R36" i="30"/>
  <c r="R28" i="30"/>
  <c r="R20" i="30"/>
  <c r="R107" i="30"/>
  <c r="R99" i="30"/>
  <c r="R95" i="30"/>
  <c r="R91" i="30"/>
  <c r="R88" i="30"/>
  <c r="R83" i="30"/>
  <c r="R76" i="30"/>
  <c r="R71" i="30"/>
  <c r="R68" i="30"/>
  <c r="R63" i="30"/>
  <c r="R55" i="30"/>
  <c r="R51" i="30"/>
  <c r="R35" i="30"/>
  <c r="R27" i="30"/>
  <c r="R117" i="30"/>
  <c r="R110" i="30"/>
  <c r="R106" i="30"/>
  <c r="R102" i="30"/>
  <c r="R98" i="30"/>
  <c r="R94" i="30"/>
  <c r="R79" i="30"/>
  <c r="R62" i="30"/>
  <c r="R54" i="30"/>
  <c r="R50" i="30"/>
  <c r="R43" i="30"/>
  <c r="R34" i="30"/>
  <c r="R26" i="30"/>
  <c r="R19" i="30"/>
  <c r="R119" i="30"/>
  <c r="R113" i="30"/>
  <c r="R105" i="30"/>
  <c r="R101" i="30"/>
  <c r="R90" i="30"/>
  <c r="R85" i="30"/>
  <c r="R82" i="30"/>
  <c r="R73" i="30"/>
  <c r="R70" i="30"/>
  <c r="R65" i="30"/>
  <c r="R61" i="30"/>
  <c r="R49" i="30"/>
  <c r="R40" i="30"/>
  <c r="R33" i="30"/>
  <c r="R25" i="30"/>
  <c r="R124" i="30"/>
  <c r="R112" i="30"/>
  <c r="R109" i="30"/>
  <c r="R104" i="30"/>
  <c r="R97" i="30"/>
  <c r="R93" i="30"/>
  <c r="R60" i="30"/>
  <c r="R53" i="30"/>
  <c r="R48" i="30"/>
  <c r="P40" i="30"/>
  <c r="R32" i="30"/>
  <c r="R24" i="30"/>
  <c r="R115" i="30"/>
  <c r="R100" i="30"/>
  <c r="R87" i="30"/>
  <c r="R84" i="30"/>
  <c r="R75" i="30"/>
  <c r="R72" i="30"/>
  <c r="R67" i="30"/>
  <c r="R64" i="30"/>
  <c r="R59" i="30"/>
  <c r="R47" i="30"/>
  <c r="R31" i="30"/>
  <c r="R23" i="30"/>
  <c r="R118" i="30"/>
  <c r="R111" i="30"/>
  <c r="R103" i="30"/>
  <c r="R78" i="30"/>
  <c r="R58" i="30"/>
  <c r="R46" i="30"/>
  <c r="R38" i="30"/>
  <c r="R30" i="30"/>
  <c r="R22" i="30"/>
  <c r="X12" i="30"/>
  <c r="Z12" i="30" s="1"/>
  <c r="R114" i="30"/>
  <c r="R89" i="30"/>
  <c r="R86" i="30"/>
  <c r="R81" i="30"/>
  <c r="R77" i="30"/>
  <c r="R74" i="30"/>
  <c r="R69" i="30"/>
  <c r="R66" i="30"/>
  <c r="R57" i="30"/>
  <c r="R45" i="30"/>
  <c r="R42" i="30"/>
  <c r="R37" i="30"/>
  <c r="R29" i="30"/>
  <c r="R21" i="30"/>
  <c r="N27" i="37"/>
  <c r="H31" i="37"/>
  <c r="D27" i="43"/>
  <c r="L18" i="43"/>
  <c r="X18" i="28"/>
  <c r="P27" i="28"/>
  <c r="L18" i="40"/>
  <c r="D27" i="40"/>
  <c r="T36" i="28"/>
  <c r="Z36" i="28" s="1"/>
  <c r="Z31" i="28"/>
  <c r="H92" i="21"/>
  <c r="D31" i="26"/>
  <c r="T92" i="21"/>
  <c r="L18" i="23"/>
  <c r="D27" i="23"/>
  <c r="X18" i="19"/>
  <c r="P27" i="19"/>
  <c r="F83" i="27"/>
  <c r="Z27" i="25"/>
  <c r="T31" i="25"/>
  <c r="T27" i="13"/>
  <c r="Z18" i="13"/>
  <c r="H27" i="14"/>
  <c r="L27" i="14" s="1"/>
  <c r="N18" i="14"/>
  <c r="R146" i="12"/>
  <c r="R139" i="12"/>
  <c r="R134" i="12"/>
  <c r="R130" i="12"/>
  <c r="R126" i="12"/>
  <c r="R122" i="12"/>
  <c r="R110" i="12"/>
  <c r="R107" i="12"/>
  <c r="R102" i="12"/>
  <c r="R98" i="12"/>
  <c r="R95" i="12"/>
  <c r="R90" i="12"/>
  <c r="R86" i="12"/>
  <c r="R83" i="12"/>
  <c r="R78" i="12"/>
  <c r="R70" i="12"/>
  <c r="R66" i="12"/>
  <c r="R58" i="12"/>
  <c r="R50" i="12"/>
  <c r="R42" i="12"/>
  <c r="R34" i="12"/>
  <c r="R26" i="12"/>
  <c r="R160" i="12"/>
  <c r="R152" i="12"/>
  <c r="R132" i="12"/>
  <c r="R124" i="12"/>
  <c r="R120" i="12"/>
  <c r="R116" i="12"/>
  <c r="R112" i="12"/>
  <c r="R109" i="12"/>
  <c r="R104" i="12"/>
  <c r="R97" i="12"/>
  <c r="R92" i="12"/>
  <c r="R85" i="12"/>
  <c r="R80" i="12"/>
  <c r="R76" i="12"/>
  <c r="R64" i="12"/>
  <c r="R57" i="12"/>
  <c r="R48" i="12"/>
  <c r="R40" i="12"/>
  <c r="R32" i="12"/>
  <c r="R24" i="12"/>
  <c r="R148" i="12"/>
  <c r="R144" i="12"/>
  <c r="R128" i="12"/>
  <c r="R119" i="12"/>
  <c r="R115" i="12"/>
  <c r="R100" i="12"/>
  <c r="R88" i="12"/>
  <c r="R75" i="12"/>
  <c r="R68" i="12"/>
  <c r="R63" i="12"/>
  <c r="R47" i="12"/>
  <c r="R39" i="12"/>
  <c r="R31" i="12"/>
  <c r="R154" i="12"/>
  <c r="R138" i="12"/>
  <c r="R131" i="12"/>
  <c r="R123" i="12"/>
  <c r="R114" i="12"/>
  <c r="R111" i="12"/>
  <c r="R106" i="12"/>
  <c r="R103" i="12"/>
  <c r="R94" i="12"/>
  <c r="R91" i="12"/>
  <c r="R82" i="12"/>
  <c r="R79" i="12"/>
  <c r="R74" i="12"/>
  <c r="R62" i="12"/>
  <c r="P54" i="12"/>
  <c r="R54" i="12" s="1"/>
  <c r="R46" i="12"/>
  <c r="R38" i="12"/>
  <c r="R30" i="12"/>
  <c r="R23" i="12"/>
  <c r="X12" i="12"/>
  <c r="Z12" i="12" s="1"/>
  <c r="R141" i="12"/>
  <c r="R137" i="12"/>
  <c r="R118" i="12"/>
  <c r="R73" i="12"/>
  <c r="R61" i="12"/>
  <c r="R45" i="12"/>
  <c r="R37" i="12"/>
  <c r="R29" i="12"/>
  <c r="R156" i="12"/>
  <c r="R151" i="12"/>
  <c r="R140" i="12"/>
  <c r="R136" i="12"/>
  <c r="R113" i="12"/>
  <c r="R108" i="12"/>
  <c r="R105" i="12"/>
  <c r="R96" i="12"/>
  <c r="R93" i="12"/>
  <c r="R84" i="12"/>
  <c r="R81" i="12"/>
  <c r="R72" i="12"/>
  <c r="R60" i="12"/>
  <c r="R52" i="12"/>
  <c r="R44" i="12"/>
  <c r="R36" i="12"/>
  <c r="R28" i="12"/>
  <c r="R153" i="12"/>
  <c r="R147" i="12"/>
  <c r="R143" i="12"/>
  <c r="R135" i="12"/>
  <c r="R127" i="12"/>
  <c r="R99" i="12"/>
  <c r="R87" i="12"/>
  <c r="R71" i="12"/>
  <c r="R67" i="12"/>
  <c r="R59" i="12"/>
  <c r="R56" i="12"/>
  <c r="R51" i="12"/>
  <c r="R43" i="12"/>
  <c r="R35" i="12"/>
  <c r="R27" i="12"/>
  <c r="R125" i="12"/>
  <c r="R77" i="12"/>
  <c r="R33" i="12"/>
  <c r="R101" i="12"/>
  <c r="R65" i="12"/>
  <c r="R155" i="12"/>
  <c r="R89" i="12"/>
  <c r="R41" i="12"/>
  <c r="R149" i="12"/>
  <c r="R129" i="12"/>
  <c r="R117" i="12"/>
  <c r="R25" i="12"/>
  <c r="R49" i="12"/>
  <c r="R145" i="12"/>
  <c r="R142" i="12"/>
  <c r="R133" i="12"/>
  <c r="R121" i="12"/>
  <c r="R69" i="12"/>
  <c r="T175" i="3"/>
  <c r="P97" i="9"/>
  <c r="X16" i="9"/>
  <c r="D31" i="14"/>
  <c r="H101" i="9"/>
  <c r="L18" i="5"/>
  <c r="D27" i="5"/>
  <c r="X27" i="4"/>
  <c r="P31" i="4"/>
  <c r="T75" i="48"/>
  <c r="Z27" i="10"/>
  <c r="T31" i="10"/>
  <c r="T89" i="88"/>
  <c r="T27" i="93"/>
  <c r="Z18" i="93"/>
  <c r="H36" i="86"/>
  <c r="N18" i="86"/>
  <c r="D28" i="80"/>
  <c r="L16" i="80"/>
  <c r="J23" i="76"/>
  <c r="H91" i="76"/>
  <c r="J20" i="71"/>
  <c r="H72" i="71"/>
  <c r="H89" i="65"/>
  <c r="J31" i="65"/>
  <c r="T101" i="62"/>
  <c r="X101" i="62" s="1"/>
  <c r="Z17" i="62"/>
  <c r="X17" i="62"/>
  <c r="T62" i="60"/>
  <c r="H105" i="62"/>
  <c r="P76" i="58"/>
  <c r="X16" i="58"/>
  <c r="T71" i="57"/>
  <c r="T22" i="54"/>
  <c r="Z16" i="54"/>
  <c r="T79" i="56"/>
  <c r="D31" i="55"/>
  <c r="L16" i="55"/>
  <c r="X18" i="49"/>
  <c r="P27" i="49"/>
  <c r="H106" i="45"/>
  <c r="P79" i="48"/>
  <c r="X75" i="48"/>
  <c r="X18" i="37"/>
  <c r="P27" i="37"/>
  <c r="H27" i="31"/>
  <c r="N18" i="31"/>
  <c r="T122" i="30"/>
  <c r="T27" i="29"/>
  <c r="Z18" i="29"/>
  <c r="D27" i="28"/>
  <c r="L18" i="28"/>
  <c r="T75" i="33"/>
  <c r="V23" i="33"/>
  <c r="X18" i="32"/>
  <c r="P27" i="32"/>
  <c r="F40" i="30"/>
  <c r="L23" i="33"/>
  <c r="N23" i="33" s="1"/>
  <c r="D75" i="33"/>
  <c r="H27" i="22"/>
  <c r="N18" i="22"/>
  <c r="H27" i="8"/>
  <c r="N18" i="8"/>
  <c r="D36" i="19"/>
  <c r="L31" i="19"/>
  <c r="D84" i="24"/>
  <c r="L30" i="24"/>
  <c r="N30" i="24" s="1"/>
  <c r="P27" i="10"/>
  <c r="X18" i="10"/>
  <c r="X18" i="13"/>
  <c r="P27" i="13"/>
  <c r="J62" i="3"/>
  <c r="H175" i="3"/>
  <c r="P27" i="7"/>
  <c r="X18" i="7"/>
  <c r="L18" i="14"/>
  <c r="P59" i="87"/>
  <c r="X16" i="87"/>
  <c r="P79" i="78"/>
  <c r="F67" i="71"/>
  <c r="F64" i="71"/>
  <c r="F56" i="71"/>
  <c r="F40" i="71"/>
  <c r="F28" i="71"/>
  <c r="F23" i="71"/>
  <c r="F63" i="71"/>
  <c r="F59" i="71"/>
  <c r="F50" i="71"/>
  <c r="F47" i="71"/>
  <c r="F39" i="71"/>
  <c r="F27" i="71"/>
  <c r="F20" i="71"/>
  <c r="F66" i="71"/>
  <c r="F62" i="71"/>
  <c r="F58" i="71"/>
  <c r="F38" i="71"/>
  <c r="F33" i="71"/>
  <c r="F26" i="71"/>
  <c r="D20" i="71"/>
  <c r="F18" i="71"/>
  <c r="F76" i="71"/>
  <c r="F70" i="71"/>
  <c r="F61" i="71"/>
  <c r="F52" i="71"/>
  <c r="F49" i="71"/>
  <c r="F44" i="71"/>
  <c r="F37" i="71"/>
  <c r="F25" i="71"/>
  <c r="F17" i="71"/>
  <c r="F74" i="71"/>
  <c r="F68" i="71"/>
  <c r="F55" i="71"/>
  <c r="F36" i="71"/>
  <c r="F32" i="71"/>
  <c r="F24" i="71"/>
  <c r="L12" i="71"/>
  <c r="N12" i="71" s="1"/>
  <c r="F51" i="71"/>
  <c r="F46" i="71"/>
  <c r="F43" i="71"/>
  <c r="F35" i="71"/>
  <c r="F31" i="71"/>
  <c r="F22" i="71"/>
  <c r="F65" i="71"/>
  <c r="F57" i="71"/>
  <c r="F53" i="71"/>
  <c r="F30" i="71"/>
  <c r="F48" i="71"/>
  <c r="F79" i="71"/>
  <c r="F54" i="71"/>
  <c r="F45" i="71"/>
  <c r="F41" i="71"/>
  <c r="F72" i="71"/>
  <c r="F42" i="71"/>
  <c r="F34" i="71"/>
  <c r="F16" i="71"/>
  <c r="F60" i="71"/>
  <c r="F29" i="71"/>
  <c r="P89" i="65"/>
  <c r="L18" i="52"/>
  <c r="D27" i="52"/>
  <c r="H27" i="26"/>
  <c r="N18" i="26"/>
  <c r="T27" i="11"/>
  <c r="Z18" i="11"/>
  <c r="D92" i="89"/>
  <c r="L23" i="89"/>
  <c r="N23" i="89" s="1"/>
  <c r="D27" i="93"/>
  <c r="L18" i="93"/>
  <c r="D36" i="94"/>
  <c r="X27" i="92"/>
  <c r="P31" i="92"/>
  <c r="R94" i="89"/>
  <c r="R88" i="89"/>
  <c r="R85" i="89"/>
  <c r="R80" i="89"/>
  <c r="R72" i="89"/>
  <c r="R79" i="89"/>
  <c r="R75" i="89"/>
  <c r="R71" i="89"/>
  <c r="R67" i="89"/>
  <c r="R64" i="89"/>
  <c r="R59" i="89"/>
  <c r="R56" i="89"/>
  <c r="R87" i="89"/>
  <c r="R78" i="89"/>
  <c r="R70" i="89"/>
  <c r="R77" i="89"/>
  <c r="R74" i="89"/>
  <c r="R66" i="89"/>
  <c r="R84" i="89"/>
  <c r="R86" i="89"/>
  <c r="R81" i="89"/>
  <c r="R68" i="89"/>
  <c r="R60" i="89"/>
  <c r="R42" i="89"/>
  <c r="R30" i="89"/>
  <c r="R90" i="89"/>
  <c r="R65" i="89"/>
  <c r="R53" i="89"/>
  <c r="R50" i="89"/>
  <c r="R41" i="89"/>
  <c r="R29" i="89"/>
  <c r="R21" i="89"/>
  <c r="R83" i="89"/>
  <c r="R63" i="89"/>
  <c r="R58" i="89"/>
  <c r="R55" i="89"/>
  <c r="R52" i="89"/>
  <c r="R47" i="89"/>
  <c r="R39" i="89"/>
  <c r="R35" i="89"/>
  <c r="R27" i="89"/>
  <c r="R19" i="89"/>
  <c r="R62" i="89"/>
  <c r="R46" i="89"/>
  <c r="R38" i="89"/>
  <c r="R34" i="89"/>
  <c r="R73" i="89"/>
  <c r="R45" i="89"/>
  <c r="R40" i="89"/>
  <c r="R33" i="89"/>
  <c r="R28" i="89"/>
  <c r="P23" i="89"/>
  <c r="R76" i="89"/>
  <c r="R48" i="89"/>
  <c r="R18" i="89"/>
  <c r="R51" i="89"/>
  <c r="R69" i="89"/>
  <c r="R54" i="89"/>
  <c r="R49" i="89"/>
  <c r="R20" i="89"/>
  <c r="R82" i="89"/>
  <c r="R61" i="89"/>
  <c r="R57" i="89"/>
  <c r="R37" i="89"/>
  <c r="R36" i="89"/>
  <c r="R43" i="89"/>
  <c r="X12" i="89"/>
  <c r="Z12" i="89" s="1"/>
  <c r="R44" i="89"/>
  <c r="R23" i="89"/>
  <c r="R32" i="89"/>
  <c r="R31" i="89"/>
  <c r="R25" i="89"/>
  <c r="R26" i="89"/>
  <c r="P92" i="90"/>
  <c r="X23" i="90"/>
  <c r="Z23" i="90" s="1"/>
  <c r="T98" i="82"/>
  <c r="V94" i="82"/>
  <c r="T58" i="84"/>
  <c r="P26" i="77"/>
  <c r="X16" i="77"/>
  <c r="P86" i="73"/>
  <c r="X21" i="73"/>
  <c r="Z21" i="73" s="1"/>
  <c r="T28" i="80"/>
  <c r="Z16" i="80"/>
  <c r="T79" i="69"/>
  <c r="R107" i="67"/>
  <c r="R101" i="67"/>
  <c r="R97" i="67"/>
  <c r="R93" i="67"/>
  <c r="R89" i="67"/>
  <c r="R112" i="67"/>
  <c r="R96" i="67"/>
  <c r="R85" i="67"/>
  <c r="R103" i="67"/>
  <c r="R100" i="67"/>
  <c r="R92" i="67"/>
  <c r="R88" i="67"/>
  <c r="R76" i="67"/>
  <c r="R71" i="67"/>
  <c r="R68" i="67"/>
  <c r="R63" i="67"/>
  <c r="R55" i="67"/>
  <c r="R51" i="67"/>
  <c r="R35" i="67"/>
  <c r="R27" i="67"/>
  <c r="R106" i="67"/>
  <c r="R95" i="67"/>
  <c r="R82" i="67"/>
  <c r="R79" i="67"/>
  <c r="R62" i="67"/>
  <c r="R54" i="67"/>
  <c r="R50" i="67"/>
  <c r="R43" i="67"/>
  <c r="R34" i="67"/>
  <c r="R102" i="67"/>
  <c r="R86" i="67"/>
  <c r="R65" i="67"/>
  <c r="R64" i="67"/>
  <c r="R90" i="67"/>
  <c r="R87" i="67"/>
  <c r="R84" i="67"/>
  <c r="R83" i="67"/>
  <c r="R61" i="67"/>
  <c r="R60" i="67"/>
  <c r="R94" i="67"/>
  <c r="R91" i="67"/>
  <c r="R80" i="67"/>
  <c r="R75" i="67"/>
  <c r="R69" i="67"/>
  <c r="R59" i="67"/>
  <c r="R58" i="67"/>
  <c r="R52" i="67"/>
  <c r="R33" i="67"/>
  <c r="R20" i="67"/>
  <c r="R105" i="67"/>
  <c r="R74" i="67"/>
  <c r="R42" i="67"/>
  <c r="R37" i="67"/>
  <c r="R36" i="67"/>
  <c r="R32" i="67"/>
  <c r="R29" i="67"/>
  <c r="R28" i="67"/>
  <c r="R98" i="67"/>
  <c r="R73" i="67"/>
  <c r="R72" i="67"/>
  <c r="P40" i="67"/>
  <c r="R38" i="67"/>
  <c r="R31" i="67"/>
  <c r="R30" i="67"/>
  <c r="R26" i="67"/>
  <c r="R19" i="67"/>
  <c r="R99" i="67"/>
  <c r="R25" i="67"/>
  <c r="R108" i="67"/>
  <c r="R77" i="67"/>
  <c r="R67" i="67"/>
  <c r="R45" i="67"/>
  <c r="R44" i="67"/>
  <c r="R24" i="67"/>
  <c r="R81" i="67"/>
  <c r="R46" i="67"/>
  <c r="R23" i="67"/>
  <c r="X12" i="67"/>
  <c r="Z12" i="67" s="1"/>
  <c r="R49" i="67"/>
  <c r="R53" i="67"/>
  <c r="R47" i="67"/>
  <c r="R78" i="67"/>
  <c r="R56" i="67"/>
  <c r="R70" i="67"/>
  <c r="R57" i="67"/>
  <c r="R48" i="67"/>
  <c r="R21" i="67"/>
  <c r="R66" i="67"/>
  <c r="R22" i="67"/>
  <c r="H37" i="64"/>
  <c r="N16" i="64"/>
  <c r="F40" i="67"/>
  <c r="D101" i="62"/>
  <c r="F82" i="63"/>
  <c r="F77" i="63"/>
  <c r="F73" i="63"/>
  <c r="F69" i="63"/>
  <c r="F64" i="63"/>
  <c r="F61" i="63"/>
  <c r="F86" i="63"/>
  <c r="F80" i="63"/>
  <c r="F76" i="63"/>
  <c r="F72" i="63"/>
  <c r="F60" i="63"/>
  <c r="F55" i="63"/>
  <c r="F52" i="63"/>
  <c r="F44" i="63"/>
  <c r="F40" i="63"/>
  <c r="F24" i="63"/>
  <c r="F75" i="63"/>
  <c r="F66" i="63"/>
  <c r="F63" i="63"/>
  <c r="F51" i="63"/>
  <c r="F43" i="63"/>
  <c r="F57" i="63"/>
  <c r="F54" i="63"/>
  <c r="F50" i="63"/>
  <c r="F38" i="63"/>
  <c r="F33" i="63"/>
  <c r="F22" i="63"/>
  <c r="F68" i="63"/>
  <c r="F65" i="63"/>
  <c r="F49" i="63"/>
  <c r="F37" i="63"/>
  <c r="F21" i="63"/>
  <c r="F79" i="63"/>
  <c r="F71" i="63"/>
  <c r="F59" i="63"/>
  <c r="F56" i="63"/>
  <c r="F48" i="63"/>
  <c r="F36" i="63"/>
  <c r="D30" i="63"/>
  <c r="F28" i="63"/>
  <c r="F20" i="63"/>
  <c r="L12" i="63"/>
  <c r="N12" i="63" s="1"/>
  <c r="F74" i="63"/>
  <c r="F67" i="63"/>
  <c r="F62" i="63"/>
  <c r="F47" i="63"/>
  <c r="F42" i="63"/>
  <c r="F35" i="63"/>
  <c r="F27" i="63"/>
  <c r="F19" i="63"/>
  <c r="F41" i="63"/>
  <c r="F18" i="63"/>
  <c r="F45" i="63"/>
  <c r="F25" i="63"/>
  <c r="F78" i="63"/>
  <c r="F70" i="63"/>
  <c r="F58" i="63"/>
  <c r="F53" i="63"/>
  <c r="F46" i="63"/>
  <c r="F26" i="63"/>
  <c r="F34" i="63"/>
  <c r="F32" i="63"/>
  <c r="F39" i="63"/>
  <c r="F23" i="63"/>
  <c r="D62" i="60"/>
  <c r="P66" i="59"/>
  <c r="X16" i="59"/>
  <c r="H61" i="61"/>
  <c r="P22" i="54"/>
  <c r="X16" i="54"/>
  <c r="H27" i="52"/>
  <c r="N18" i="52"/>
  <c r="V23" i="45"/>
  <c r="X75" i="56"/>
  <c r="Z75" i="56" s="1"/>
  <c r="R81" i="51"/>
  <c r="R69" i="51"/>
  <c r="R77" i="51"/>
  <c r="R52" i="51"/>
  <c r="R74" i="51"/>
  <c r="R67" i="51"/>
  <c r="R64" i="51"/>
  <c r="R59" i="51"/>
  <c r="R56" i="51"/>
  <c r="R51" i="51"/>
  <c r="R66" i="51"/>
  <c r="R63" i="51"/>
  <c r="R62" i="51"/>
  <c r="R43" i="51"/>
  <c r="R35" i="51"/>
  <c r="R27" i="51"/>
  <c r="R68" i="51"/>
  <c r="R50" i="51"/>
  <c r="R42" i="51"/>
  <c r="R26" i="51"/>
  <c r="R19" i="51"/>
  <c r="R71" i="51"/>
  <c r="R61" i="51"/>
  <c r="R54" i="51"/>
  <c r="R53" i="51"/>
  <c r="R49" i="51"/>
  <c r="R46" i="51"/>
  <c r="R41" i="51"/>
  <c r="R34" i="51"/>
  <c r="R25" i="51"/>
  <c r="R72" i="51"/>
  <c r="R70" i="51"/>
  <c r="R65" i="51"/>
  <c r="R60" i="51"/>
  <c r="R58" i="51"/>
  <c r="R55" i="51"/>
  <c r="R48" i="51"/>
  <c r="R47" i="51"/>
  <c r="R45" i="51"/>
  <c r="R40" i="51"/>
  <c r="R24" i="51"/>
  <c r="R76" i="51"/>
  <c r="R39" i="51"/>
  <c r="P31" i="51"/>
  <c r="R23" i="51"/>
  <c r="R75" i="51"/>
  <c r="R38" i="51"/>
  <c r="R22" i="51"/>
  <c r="X12" i="51"/>
  <c r="Z12" i="51" s="1"/>
  <c r="R57" i="51"/>
  <c r="R37" i="51"/>
  <c r="R29" i="51"/>
  <c r="R21" i="51"/>
  <c r="R44" i="51"/>
  <c r="R36" i="51"/>
  <c r="R33" i="51"/>
  <c r="R28" i="51"/>
  <c r="R20" i="51"/>
  <c r="F72" i="48"/>
  <c r="F46" i="48"/>
  <c r="F43" i="48"/>
  <c r="F39" i="48"/>
  <c r="F27" i="48"/>
  <c r="F70" i="48"/>
  <c r="F61" i="48"/>
  <c r="F57" i="48"/>
  <c r="F54" i="48"/>
  <c r="F38" i="48"/>
  <c r="F26" i="48"/>
  <c r="F48" i="48"/>
  <c r="F45" i="48"/>
  <c r="F37" i="48"/>
  <c r="F25" i="48"/>
  <c r="F20" i="48"/>
  <c r="F73" i="48"/>
  <c r="F67" i="48"/>
  <c r="F63" i="48"/>
  <c r="F60" i="48"/>
  <c r="F56" i="48"/>
  <c r="F51" i="48"/>
  <c r="F36" i="48"/>
  <c r="F31" i="48"/>
  <c r="F24" i="48"/>
  <c r="F59" i="48"/>
  <c r="F47" i="48"/>
  <c r="F42" i="48"/>
  <c r="F35" i="48"/>
  <c r="F23" i="48"/>
  <c r="D17" i="48"/>
  <c r="F69" i="48"/>
  <c r="F66" i="48"/>
  <c r="F62" i="48"/>
  <c r="F58" i="48"/>
  <c r="F53" i="48"/>
  <c r="F50" i="48"/>
  <c r="F34" i="48"/>
  <c r="F30" i="48"/>
  <c r="F22" i="48"/>
  <c r="L12" i="48"/>
  <c r="N12" i="48" s="1"/>
  <c r="F77" i="48"/>
  <c r="F65" i="48"/>
  <c r="F49" i="48"/>
  <c r="F44" i="48"/>
  <c r="F41" i="48"/>
  <c r="F33" i="48"/>
  <c r="F29" i="48"/>
  <c r="F21" i="48"/>
  <c r="F68" i="48"/>
  <c r="F64" i="48"/>
  <c r="F55" i="48"/>
  <c r="F52" i="48"/>
  <c r="F40" i="48"/>
  <c r="F32" i="48"/>
  <c r="F28" i="48"/>
  <c r="F19" i="48"/>
  <c r="F15" i="48"/>
  <c r="X18" i="47"/>
  <c r="P27" i="47"/>
  <c r="X17" i="48"/>
  <c r="Z17" i="48" s="1"/>
  <c r="T108" i="42"/>
  <c r="Z24" i="42"/>
  <c r="X24" i="42"/>
  <c r="P108" i="42"/>
  <c r="H122" i="30"/>
  <c r="N40" i="30"/>
  <c r="J40" i="30"/>
  <c r="T111" i="39"/>
  <c r="H27" i="34"/>
  <c r="L27" i="34" s="1"/>
  <c r="N18" i="34"/>
  <c r="H89" i="27"/>
  <c r="H82" i="48"/>
  <c r="N27" i="28"/>
  <c r="H31" i="28"/>
  <c r="H27" i="20"/>
  <c r="N18" i="20"/>
  <c r="H159" i="18"/>
  <c r="D31" i="25"/>
  <c r="T27" i="20"/>
  <c r="Z18" i="20"/>
  <c r="H27" i="13"/>
  <c r="L27" i="13" s="1"/>
  <c r="N18" i="13"/>
  <c r="Z16" i="9"/>
  <c r="T97" i="9"/>
  <c r="D159" i="18"/>
  <c r="L56" i="18"/>
  <c r="N56" i="18" s="1"/>
  <c r="T36" i="19"/>
  <c r="Z36" i="19" s="1"/>
  <c r="Z31" i="19"/>
  <c r="X18" i="17"/>
  <c r="P27" i="17"/>
  <c r="F138" i="12"/>
  <c r="F114" i="12"/>
  <c r="F109" i="12"/>
  <c r="F106" i="12"/>
  <c r="F97" i="12"/>
  <c r="F94" i="12"/>
  <c r="F85" i="12"/>
  <c r="F82" i="12"/>
  <c r="F74" i="12"/>
  <c r="F62" i="12"/>
  <c r="F57" i="12"/>
  <c r="F46" i="12"/>
  <c r="F38" i="12"/>
  <c r="F30" i="12"/>
  <c r="L12" i="12"/>
  <c r="N12" i="12" s="1"/>
  <c r="F140" i="12"/>
  <c r="F136" i="12"/>
  <c r="F131" i="12"/>
  <c r="F123" i="12"/>
  <c r="F111" i="12"/>
  <c r="F108" i="12"/>
  <c r="F103" i="12"/>
  <c r="F96" i="12"/>
  <c r="F91" i="12"/>
  <c r="F84" i="12"/>
  <c r="F79" i="12"/>
  <c r="F72" i="12"/>
  <c r="F60" i="12"/>
  <c r="D54" i="12"/>
  <c r="F52" i="12"/>
  <c r="F44" i="12"/>
  <c r="F36" i="12"/>
  <c r="F28" i="12"/>
  <c r="F23" i="12"/>
  <c r="F156" i="12"/>
  <c r="F147" i="12"/>
  <c r="F143" i="12"/>
  <c r="F135" i="12"/>
  <c r="F127" i="12"/>
  <c r="F118" i="12"/>
  <c r="F99" i="12"/>
  <c r="F87" i="12"/>
  <c r="F71" i="12"/>
  <c r="F67" i="12"/>
  <c r="F59" i="12"/>
  <c r="F51" i="12"/>
  <c r="F43" i="12"/>
  <c r="F35" i="12"/>
  <c r="F27" i="12"/>
  <c r="F153" i="12"/>
  <c r="F151" i="12"/>
  <c r="F146" i="12"/>
  <c r="F134" i="12"/>
  <c r="F130" i="12"/>
  <c r="F126" i="12"/>
  <c r="F122" i="12"/>
  <c r="F113" i="12"/>
  <c r="F110" i="12"/>
  <c r="F105" i="12"/>
  <c r="F102" i="12"/>
  <c r="F98" i="12"/>
  <c r="F93" i="12"/>
  <c r="F90" i="12"/>
  <c r="F86" i="12"/>
  <c r="F81" i="12"/>
  <c r="F78" i="12"/>
  <c r="F70" i="12"/>
  <c r="F66" i="12"/>
  <c r="F58" i="12"/>
  <c r="F50" i="12"/>
  <c r="F42" i="12"/>
  <c r="F34" i="12"/>
  <c r="F26" i="12"/>
  <c r="F149" i="12"/>
  <c r="F145" i="12"/>
  <c r="F133" i="12"/>
  <c r="F129" i="12"/>
  <c r="F125" i="12"/>
  <c r="F121" i="12"/>
  <c r="F117" i="12"/>
  <c r="F101" i="12"/>
  <c r="F89" i="12"/>
  <c r="F77" i="12"/>
  <c r="F69" i="12"/>
  <c r="F65" i="12"/>
  <c r="F56" i="12"/>
  <c r="F49" i="12"/>
  <c r="F41" i="12"/>
  <c r="F33" i="12"/>
  <c r="F25" i="12"/>
  <c r="F160" i="12"/>
  <c r="F155" i="12"/>
  <c r="F139" i="12"/>
  <c r="F132" i="12"/>
  <c r="F124" i="12"/>
  <c r="F120" i="12"/>
  <c r="F116" i="12"/>
  <c r="F112" i="12"/>
  <c r="F107" i="12"/>
  <c r="F104" i="12"/>
  <c r="F95" i="12"/>
  <c r="F92" i="12"/>
  <c r="F83" i="12"/>
  <c r="F80" i="12"/>
  <c r="F76" i="12"/>
  <c r="F64" i="12"/>
  <c r="F48" i="12"/>
  <c r="F40" i="12"/>
  <c r="F32" i="12"/>
  <c r="F24" i="12"/>
  <c r="F152" i="12"/>
  <c r="F142" i="12"/>
  <c r="F119" i="12"/>
  <c r="F115" i="12"/>
  <c r="F75" i="12"/>
  <c r="F63" i="12"/>
  <c r="F47" i="12"/>
  <c r="F39" i="12"/>
  <c r="F31" i="12"/>
  <c r="F141" i="12"/>
  <c r="F29" i="12"/>
  <c r="F61" i="12"/>
  <c r="F100" i="12"/>
  <c r="F54" i="12"/>
  <c r="F154" i="12"/>
  <c r="F37" i="12"/>
  <c r="F148" i="12"/>
  <c r="F128" i="12"/>
  <c r="F73" i="12"/>
  <c r="F88" i="12"/>
  <c r="F137" i="12"/>
  <c r="F68" i="12"/>
  <c r="F45" i="12"/>
  <c r="F144" i="12"/>
  <c r="H36" i="23"/>
  <c r="N36" i="23" s="1"/>
  <c r="N31" i="23"/>
  <c r="D31" i="17"/>
  <c r="D31" i="10"/>
  <c r="D27" i="8"/>
  <c r="L18" i="8"/>
  <c r="D31" i="13"/>
  <c r="D22" i="6"/>
  <c r="L16" i="6"/>
  <c r="F173" i="3"/>
  <c r="F154" i="3"/>
  <c r="F150" i="3"/>
  <c r="F134" i="3"/>
  <c r="F130" i="3"/>
  <c r="F126" i="3"/>
  <c r="F122" i="3"/>
  <c r="F117" i="3"/>
  <c r="F114" i="3"/>
  <c r="F105" i="3"/>
  <c r="F102" i="3"/>
  <c r="F93" i="3"/>
  <c r="F90" i="3"/>
  <c r="F82" i="3"/>
  <c r="F70" i="3"/>
  <c r="F65" i="3"/>
  <c r="F54" i="3"/>
  <c r="F46" i="3"/>
  <c r="F38" i="3"/>
  <c r="F30" i="3"/>
  <c r="F25" i="3"/>
  <c r="F131" i="3"/>
  <c r="F31" i="3"/>
  <c r="F170" i="3"/>
  <c r="F161" i="3"/>
  <c r="F157" i="3"/>
  <c r="F149" i="3"/>
  <c r="F129" i="3"/>
  <c r="F125" i="3"/>
  <c r="F108" i="3"/>
  <c r="F96" i="3"/>
  <c r="F81" i="3"/>
  <c r="F76" i="3"/>
  <c r="F69" i="3"/>
  <c r="F53" i="3"/>
  <c r="F45" i="3"/>
  <c r="F37" i="3"/>
  <c r="F29" i="3"/>
  <c r="F158" i="3"/>
  <c r="F143" i="3"/>
  <c r="F182" i="3"/>
  <c r="F167" i="3"/>
  <c r="F165" i="3"/>
  <c r="F160" i="3"/>
  <c r="F148" i="3"/>
  <c r="F139" i="3"/>
  <c r="F124" i="3"/>
  <c r="F119" i="3"/>
  <c r="F116" i="3"/>
  <c r="F111" i="3"/>
  <c r="F104" i="3"/>
  <c r="F99" i="3"/>
  <c r="F92" i="3"/>
  <c r="F87" i="3"/>
  <c r="F80" i="3"/>
  <c r="F68" i="3"/>
  <c r="D62" i="3"/>
  <c r="F60" i="3"/>
  <c r="F52" i="3"/>
  <c r="F44" i="3"/>
  <c r="F36" i="3"/>
  <c r="F28" i="3"/>
  <c r="F39" i="3"/>
  <c r="F177" i="3"/>
  <c r="F172" i="3"/>
  <c r="F163" i="3"/>
  <c r="F159" i="3"/>
  <c r="F147" i="3"/>
  <c r="F142" i="3"/>
  <c r="F107" i="3"/>
  <c r="F95" i="3"/>
  <c r="F79" i="3"/>
  <c r="F75" i="3"/>
  <c r="F67" i="3"/>
  <c r="F59" i="3"/>
  <c r="F51" i="3"/>
  <c r="F43" i="3"/>
  <c r="F35" i="3"/>
  <c r="F27" i="3"/>
  <c r="L12" i="3"/>
  <c r="N12" i="3" s="1"/>
  <c r="F33" i="3"/>
  <c r="F151" i="3"/>
  <c r="F127" i="3"/>
  <c r="F71" i="3"/>
  <c r="F169" i="3"/>
  <c r="F153" i="3"/>
  <c r="F146" i="3"/>
  <c r="F138" i="3"/>
  <c r="F133" i="3"/>
  <c r="F121" i="3"/>
  <c r="F118" i="3"/>
  <c r="F113" i="3"/>
  <c r="F110" i="3"/>
  <c r="F106" i="3"/>
  <c r="F101" i="3"/>
  <c r="F98" i="3"/>
  <c r="F94" i="3"/>
  <c r="F89" i="3"/>
  <c r="F86" i="3"/>
  <c r="F78" i="3"/>
  <c r="F74" i="3"/>
  <c r="F66" i="3"/>
  <c r="F58" i="3"/>
  <c r="F50" i="3"/>
  <c r="F42" i="3"/>
  <c r="F34" i="3"/>
  <c r="F26" i="3"/>
  <c r="F40" i="3"/>
  <c r="F168" i="3"/>
  <c r="F162" i="3"/>
  <c r="F83" i="3"/>
  <c r="F166" i="3"/>
  <c r="F156" i="3"/>
  <c r="F145" i="3"/>
  <c r="F141" i="3"/>
  <c r="F137" i="3"/>
  <c r="F128" i="3"/>
  <c r="F109" i="3"/>
  <c r="F97" i="3"/>
  <c r="F85" i="3"/>
  <c r="F77" i="3"/>
  <c r="F73" i="3"/>
  <c r="F64" i="3"/>
  <c r="F57" i="3"/>
  <c r="F49" i="3"/>
  <c r="F41" i="3"/>
  <c r="F32" i="3"/>
  <c r="F47" i="3"/>
  <c r="F181" i="3"/>
  <c r="F171" i="3"/>
  <c r="F152" i="3"/>
  <c r="F144" i="3"/>
  <c r="F140" i="3"/>
  <c r="F136" i="3"/>
  <c r="F132" i="3"/>
  <c r="F123" i="3"/>
  <c r="F120" i="3"/>
  <c r="F115" i="3"/>
  <c r="F112" i="3"/>
  <c r="F103" i="3"/>
  <c r="F100" i="3"/>
  <c r="F91" i="3"/>
  <c r="F88" i="3"/>
  <c r="F84" i="3"/>
  <c r="F72" i="3"/>
  <c r="F56" i="3"/>
  <c r="F48" i="3"/>
  <c r="F155" i="3"/>
  <c r="F55" i="3"/>
  <c r="F135" i="3"/>
  <c r="X62" i="3"/>
  <c r="Z62" i="3" s="1"/>
  <c r="P175" i="3"/>
  <c r="H59" i="87"/>
  <c r="N16" i="87"/>
  <c r="P43" i="86"/>
  <c r="H55" i="84"/>
  <c r="X67" i="57"/>
  <c r="Z67" i="57" s="1"/>
  <c r="P71" i="57"/>
  <c r="L18" i="53"/>
  <c r="D27" i="53"/>
  <c r="P99" i="45"/>
  <c r="X23" i="45"/>
  <c r="D89" i="27"/>
  <c r="L31" i="27"/>
  <c r="N31" i="27" s="1"/>
  <c r="T31" i="92"/>
  <c r="Z27" i="92"/>
  <c r="X18" i="94"/>
  <c r="P27" i="94"/>
  <c r="T75" i="91"/>
  <c r="Z17" i="91"/>
  <c r="H75" i="91"/>
  <c r="R40" i="86"/>
  <c r="P79" i="91"/>
  <c r="X75" i="91"/>
  <c r="H91" i="83"/>
  <c r="Z16" i="78"/>
  <c r="T75" i="78"/>
  <c r="X75" i="78" s="1"/>
  <c r="P28" i="81"/>
  <c r="X16" i="81"/>
  <c r="N16" i="78"/>
  <c r="H75" i="78"/>
  <c r="X16" i="80"/>
  <c r="P28" i="80"/>
  <c r="R23" i="72"/>
  <c r="P19" i="72"/>
  <c r="R27" i="72"/>
  <c r="R17" i="72"/>
  <c r="R21" i="72"/>
  <c r="X12" i="72"/>
  <c r="Z12" i="72" s="1"/>
  <c r="R16" i="72"/>
  <c r="T75" i="68"/>
  <c r="Z23" i="68"/>
  <c r="V23" i="68"/>
  <c r="H84" i="63"/>
  <c r="J30" i="63"/>
  <c r="Z16" i="61"/>
  <c r="T57" i="61"/>
  <c r="P62" i="60"/>
  <c r="X58" i="60"/>
  <c r="Z58" i="60" s="1"/>
  <c r="H70" i="59"/>
  <c r="D76" i="58"/>
  <c r="L16" i="58"/>
  <c r="T36" i="94"/>
  <c r="Z36" i="94" s="1"/>
  <c r="Z31" i="94"/>
  <c r="N16" i="60"/>
  <c r="H58" i="60"/>
  <c r="T27" i="50"/>
  <c r="Z18" i="50"/>
  <c r="H27" i="44"/>
  <c r="N18" i="44"/>
  <c r="P82" i="56"/>
  <c r="X79" i="56"/>
  <c r="X27" i="46"/>
  <c r="P31" i="46"/>
  <c r="L18" i="46"/>
  <c r="D27" i="46"/>
  <c r="H27" i="40"/>
  <c r="N18" i="40"/>
  <c r="Z18" i="38"/>
  <c r="T27" i="38"/>
  <c r="X18" i="29"/>
  <c r="P27" i="29"/>
  <c r="R84" i="27"/>
  <c r="R77" i="27"/>
  <c r="R52" i="27"/>
  <c r="R45" i="27"/>
  <c r="R40" i="27"/>
  <c r="R31" i="27"/>
  <c r="R24" i="27"/>
  <c r="R80" i="27"/>
  <c r="R71" i="27"/>
  <c r="R67" i="27"/>
  <c r="R64" i="27"/>
  <c r="R59" i="27"/>
  <c r="R56" i="27"/>
  <c r="R51" i="27"/>
  <c r="R39" i="27"/>
  <c r="P31" i="27"/>
  <c r="R23" i="27"/>
  <c r="R86" i="27"/>
  <c r="R70" i="27"/>
  <c r="R50" i="27"/>
  <c r="R38" i="27"/>
  <c r="R22" i="27"/>
  <c r="X12" i="27"/>
  <c r="Z12" i="27" s="1"/>
  <c r="R91" i="27"/>
  <c r="R73" i="27"/>
  <c r="R69" i="27"/>
  <c r="R66" i="27"/>
  <c r="R61" i="27"/>
  <c r="R58" i="27"/>
  <c r="R49" i="27"/>
  <c r="R37" i="27"/>
  <c r="R29" i="27"/>
  <c r="R21" i="27"/>
  <c r="R83" i="27"/>
  <c r="R76" i="27"/>
  <c r="R48" i="27"/>
  <c r="R44" i="27"/>
  <c r="R36" i="27"/>
  <c r="R33" i="27"/>
  <c r="R28" i="27"/>
  <c r="R20" i="27"/>
  <c r="R85" i="27"/>
  <c r="R79" i="27"/>
  <c r="R75" i="27"/>
  <c r="R72" i="27"/>
  <c r="R68" i="27"/>
  <c r="R63" i="27"/>
  <c r="R60" i="27"/>
  <c r="R55" i="27"/>
  <c r="R47" i="27"/>
  <c r="R43" i="27"/>
  <c r="R35" i="27"/>
  <c r="R27" i="27"/>
  <c r="R78" i="27"/>
  <c r="R54" i="27"/>
  <c r="R46" i="27"/>
  <c r="R42" i="27"/>
  <c r="R26" i="27"/>
  <c r="R19" i="27"/>
  <c r="R87" i="27"/>
  <c r="R81" i="27"/>
  <c r="R74" i="27"/>
  <c r="R65" i="27"/>
  <c r="R62" i="27"/>
  <c r="R57" i="27"/>
  <c r="R53" i="27"/>
  <c r="R41" i="27"/>
  <c r="R34" i="27"/>
  <c r="R25" i="27"/>
  <c r="F99" i="42"/>
  <c r="F87" i="42"/>
  <c r="F79" i="42"/>
  <c r="F71" i="42"/>
  <c r="F101" i="42"/>
  <c r="F96" i="42"/>
  <c r="F85" i="42"/>
  <c r="F77" i="42"/>
  <c r="F53" i="42"/>
  <c r="F92" i="42"/>
  <c r="F84" i="42"/>
  <c r="F76" i="42"/>
  <c r="F67" i="42"/>
  <c r="F64" i="42"/>
  <c r="F59" i="42"/>
  <c r="F56" i="42"/>
  <c r="F104" i="42"/>
  <c r="F98" i="42"/>
  <c r="F95" i="42"/>
  <c r="F91" i="42"/>
  <c r="F55" i="42"/>
  <c r="F50" i="42"/>
  <c r="F47" i="42"/>
  <c r="F94" i="42"/>
  <c r="F90" i="42"/>
  <c r="F81" i="42"/>
  <c r="F73" i="42"/>
  <c r="F69" i="42"/>
  <c r="F66" i="42"/>
  <c r="F106" i="42"/>
  <c r="F100" i="42"/>
  <c r="F97" i="42"/>
  <c r="F89" i="42"/>
  <c r="F105" i="42"/>
  <c r="F88" i="42"/>
  <c r="F78" i="42"/>
  <c r="F63" i="42"/>
  <c r="F62" i="42"/>
  <c r="F61" i="42"/>
  <c r="F48" i="42"/>
  <c r="F38" i="42"/>
  <c r="F34" i="42"/>
  <c r="F70" i="42"/>
  <c r="F58" i="42"/>
  <c r="F46" i="42"/>
  <c r="F33" i="42"/>
  <c r="F110" i="42"/>
  <c r="F74" i="42"/>
  <c r="F45" i="42"/>
  <c r="F44" i="42"/>
  <c r="F32" i="42"/>
  <c r="F27" i="42"/>
  <c r="F19" i="42"/>
  <c r="F86" i="42"/>
  <c r="F82" i="42"/>
  <c r="F75" i="42"/>
  <c r="F65" i="42"/>
  <c r="F43" i="42"/>
  <c r="F31" i="42"/>
  <c r="F24" i="42"/>
  <c r="F68" i="42"/>
  <c r="F57" i="42"/>
  <c r="F54" i="42"/>
  <c r="F42" i="42"/>
  <c r="F37" i="42"/>
  <c r="F30" i="42"/>
  <c r="D24" i="42"/>
  <c r="F22" i="42"/>
  <c r="L12" i="42"/>
  <c r="N12" i="42" s="1"/>
  <c r="F72" i="42"/>
  <c r="F52" i="42"/>
  <c r="F51" i="42"/>
  <c r="F49" i="42"/>
  <c r="F41" i="42"/>
  <c r="F29" i="42"/>
  <c r="F21" i="42"/>
  <c r="F103" i="42"/>
  <c r="F83" i="42"/>
  <c r="F80" i="42"/>
  <c r="F40" i="42"/>
  <c r="F36" i="42"/>
  <c r="F28" i="42"/>
  <c r="F20" i="42"/>
  <c r="F93" i="42"/>
  <c r="F60" i="42"/>
  <c r="F39" i="42"/>
  <c r="F35" i="42"/>
  <c r="F26" i="42"/>
  <c r="H36" i="38"/>
  <c r="N36" i="38" s="1"/>
  <c r="N31" i="38"/>
  <c r="Z31" i="46"/>
  <c r="T36" i="46"/>
  <c r="Z36" i="46" s="1"/>
  <c r="D27" i="20"/>
  <c r="L18" i="20"/>
  <c r="P31" i="35"/>
  <c r="F72" i="33"/>
  <c r="R157" i="18"/>
  <c r="R145" i="18"/>
  <c r="R138" i="18"/>
  <c r="R133" i="18"/>
  <c r="R129" i="18"/>
  <c r="R125" i="18"/>
  <c r="R121" i="18"/>
  <c r="R117" i="18"/>
  <c r="R101" i="18"/>
  <c r="R89" i="18"/>
  <c r="R73" i="18"/>
  <c r="R69" i="18"/>
  <c r="R61" i="18"/>
  <c r="R58" i="18"/>
  <c r="R53" i="18"/>
  <c r="R45" i="18"/>
  <c r="R37" i="18"/>
  <c r="R29" i="18"/>
  <c r="R154" i="18"/>
  <c r="R148" i="18"/>
  <c r="R144" i="18"/>
  <c r="R141" i="18"/>
  <c r="R132" i="18"/>
  <c r="R128" i="18"/>
  <c r="R124" i="18"/>
  <c r="R120" i="18"/>
  <c r="R116" i="18"/>
  <c r="R112" i="18"/>
  <c r="R109" i="18"/>
  <c r="R104" i="18"/>
  <c r="R100" i="18"/>
  <c r="R97" i="18"/>
  <c r="R92" i="18"/>
  <c r="R88" i="18"/>
  <c r="R85" i="18"/>
  <c r="R80" i="18"/>
  <c r="R72" i="18"/>
  <c r="R68" i="18"/>
  <c r="R60" i="18"/>
  <c r="R52" i="18"/>
  <c r="R44" i="18"/>
  <c r="R36" i="18"/>
  <c r="R28" i="18"/>
  <c r="R21" i="18"/>
  <c r="R151" i="18"/>
  <c r="R131" i="18"/>
  <c r="R119" i="18"/>
  <c r="R115" i="18"/>
  <c r="R103" i="18"/>
  <c r="R91" i="18"/>
  <c r="R79" i="18"/>
  <c r="R71" i="18"/>
  <c r="R67" i="18"/>
  <c r="R51" i="18"/>
  <c r="R43" i="18"/>
  <c r="R35" i="18"/>
  <c r="R27" i="18"/>
  <c r="R156" i="18"/>
  <c r="R147" i="18"/>
  <c r="R143" i="18"/>
  <c r="R127" i="18"/>
  <c r="R123" i="18"/>
  <c r="R114" i="18"/>
  <c r="R111" i="18"/>
  <c r="R106" i="18"/>
  <c r="R99" i="18"/>
  <c r="R94" i="18"/>
  <c r="R87" i="18"/>
  <c r="R82" i="18"/>
  <c r="R78" i="18"/>
  <c r="R66" i="18"/>
  <c r="R59" i="18"/>
  <c r="R50" i="18"/>
  <c r="R42" i="18"/>
  <c r="R34" i="18"/>
  <c r="R26" i="18"/>
  <c r="X12" i="18"/>
  <c r="Z12" i="18" s="1"/>
  <c r="R161" i="18"/>
  <c r="R153" i="18"/>
  <c r="R137" i="18"/>
  <c r="R130" i="18"/>
  <c r="R118" i="18"/>
  <c r="R102" i="18"/>
  <c r="R90" i="18"/>
  <c r="R77" i="18"/>
  <c r="R70" i="18"/>
  <c r="R65" i="18"/>
  <c r="R49" i="18"/>
  <c r="R41" i="18"/>
  <c r="R33" i="18"/>
  <c r="R25" i="18"/>
  <c r="R140" i="18"/>
  <c r="R136" i="18"/>
  <c r="R113" i="18"/>
  <c r="R108" i="18"/>
  <c r="R105" i="18"/>
  <c r="R96" i="18"/>
  <c r="R93" i="18"/>
  <c r="R84" i="18"/>
  <c r="R81" i="18"/>
  <c r="R76" i="18"/>
  <c r="R64" i="18"/>
  <c r="P56" i="18"/>
  <c r="R56" i="18" s="1"/>
  <c r="R48" i="18"/>
  <c r="R40" i="18"/>
  <c r="R32" i="18"/>
  <c r="R24" i="18"/>
  <c r="R155" i="18"/>
  <c r="R150" i="18"/>
  <c r="R139" i="18"/>
  <c r="R135" i="18"/>
  <c r="R75" i="18"/>
  <c r="R63" i="18"/>
  <c r="R47" i="18"/>
  <c r="R39" i="18"/>
  <c r="R31" i="18"/>
  <c r="R23" i="18"/>
  <c r="R152" i="18"/>
  <c r="R146" i="18"/>
  <c r="R142" i="18"/>
  <c r="R134" i="18"/>
  <c r="R126" i="18"/>
  <c r="R122" i="18"/>
  <c r="R110" i="18"/>
  <c r="R107" i="18"/>
  <c r="R98" i="18"/>
  <c r="R95" i="18"/>
  <c r="R86" i="18"/>
  <c r="R83" i="18"/>
  <c r="R74" i="18"/>
  <c r="R62" i="18"/>
  <c r="R54" i="18"/>
  <c r="R46" i="18"/>
  <c r="R38" i="18"/>
  <c r="R30" i="18"/>
  <c r="R22" i="18"/>
  <c r="F31" i="27"/>
  <c r="L16" i="9"/>
  <c r="D97" i="9"/>
  <c r="F150" i="18"/>
  <c r="H27" i="11"/>
  <c r="N18" i="11"/>
  <c r="D151" i="15"/>
  <c r="L50" i="15"/>
  <c r="N50" i="15" s="1"/>
  <c r="F50" i="15"/>
  <c r="L18" i="13"/>
  <c r="T26" i="6"/>
  <c r="Z22" i="6"/>
  <c r="N16" i="79"/>
  <c r="H30" i="79"/>
  <c r="T90" i="74"/>
  <c r="L18" i="47"/>
  <c r="D27" i="47"/>
  <c r="H27" i="29"/>
  <c r="L27" i="29" s="1"/>
  <c r="N18" i="29"/>
  <c r="L18" i="29"/>
  <c r="T27" i="22"/>
  <c r="X27" i="22" s="1"/>
  <c r="Z18" i="22"/>
  <c r="P27" i="14"/>
  <c r="X18" i="14"/>
  <c r="H27" i="16"/>
  <c r="N18" i="16"/>
  <c r="H36" i="19"/>
  <c r="N36" i="19" s="1"/>
  <c r="N31" i="19"/>
  <c r="T28" i="85"/>
  <c r="Z16" i="85"/>
  <c r="P27" i="93"/>
  <c r="X18" i="93"/>
  <c r="J17" i="91"/>
  <c r="F92" i="90"/>
  <c r="F23" i="89"/>
  <c r="T99" i="89"/>
  <c r="L16" i="85"/>
  <c r="D28" i="85"/>
  <c r="D59" i="87"/>
  <c r="L16" i="87"/>
  <c r="D89" i="88"/>
  <c r="L23" i="88"/>
  <c r="N23" i="88" s="1"/>
  <c r="T87" i="83"/>
  <c r="F92" i="82"/>
  <c r="F86" i="82"/>
  <c r="F74" i="82"/>
  <c r="F66" i="82"/>
  <c r="F63" i="82"/>
  <c r="F58" i="82"/>
  <c r="F55" i="82"/>
  <c r="F39" i="82"/>
  <c r="F35" i="82"/>
  <c r="F27" i="82"/>
  <c r="F19" i="82"/>
  <c r="F82" i="82"/>
  <c r="F69" i="82"/>
  <c r="F54" i="82"/>
  <c r="F49" i="82"/>
  <c r="F46" i="82"/>
  <c r="F38" i="82"/>
  <c r="F34" i="82"/>
  <c r="F25" i="82"/>
  <c r="F88" i="82"/>
  <c r="F85" i="82"/>
  <c r="F81" i="82"/>
  <c r="F76" i="82"/>
  <c r="F73" i="82"/>
  <c r="F65" i="82"/>
  <c r="F60" i="82"/>
  <c r="F57" i="82"/>
  <c r="F45" i="82"/>
  <c r="F37" i="82"/>
  <c r="F33" i="82"/>
  <c r="F87" i="82"/>
  <c r="F79" i="82"/>
  <c r="F75" i="82"/>
  <c r="F71" i="82"/>
  <c r="F67" i="82"/>
  <c r="F62" i="82"/>
  <c r="F59" i="82"/>
  <c r="F43" i="82"/>
  <c r="F31" i="82"/>
  <c r="F26" i="82"/>
  <c r="F18" i="82"/>
  <c r="F91" i="82"/>
  <c r="F78" i="82"/>
  <c r="F70" i="82"/>
  <c r="F53" i="82"/>
  <c r="F50" i="82"/>
  <c r="F42" i="82"/>
  <c r="F30" i="82"/>
  <c r="F23" i="82"/>
  <c r="F96" i="82"/>
  <c r="F72" i="82"/>
  <c r="F61" i="82"/>
  <c r="F68" i="82"/>
  <c r="F48" i="82"/>
  <c r="F56" i="82"/>
  <c r="F47" i="82"/>
  <c r="F28" i="82"/>
  <c r="F21" i="82"/>
  <c r="F84" i="82"/>
  <c r="F83" i="82"/>
  <c r="F64" i="82"/>
  <c r="F52" i="82"/>
  <c r="F44" i="82"/>
  <c r="F32" i="82"/>
  <c r="F29" i="82"/>
  <c r="F41" i="82"/>
  <c r="D23" i="82"/>
  <c r="F80" i="82"/>
  <c r="F77" i="82"/>
  <c r="F36" i="82"/>
  <c r="L12" i="82"/>
  <c r="N12" i="82" s="1"/>
  <c r="F40" i="82"/>
  <c r="F20" i="82"/>
  <c r="F51" i="82"/>
  <c r="F89" i="82"/>
  <c r="H28" i="81"/>
  <c r="L28" i="81" s="1"/>
  <c r="N16" i="81"/>
  <c r="H28" i="85"/>
  <c r="N16" i="85"/>
  <c r="L16" i="78"/>
  <c r="D75" i="78"/>
  <c r="T28" i="81"/>
  <c r="Z16" i="81"/>
  <c r="L12" i="72"/>
  <c r="N12" i="72" s="1"/>
  <c r="F21" i="72"/>
  <c r="F16" i="72"/>
  <c r="D19" i="72"/>
  <c r="F27" i="72"/>
  <c r="F23" i="72"/>
  <c r="F17" i="72"/>
  <c r="F81" i="73"/>
  <c r="F77" i="73"/>
  <c r="F72" i="73"/>
  <c r="F68" i="73"/>
  <c r="F80" i="73"/>
  <c r="F76" i="73"/>
  <c r="F84" i="73"/>
  <c r="F79" i="73"/>
  <c r="F75" i="73"/>
  <c r="F71" i="73"/>
  <c r="F67" i="73"/>
  <c r="F88" i="73"/>
  <c r="F82" i="73"/>
  <c r="F74" i="73"/>
  <c r="F62" i="73"/>
  <c r="F59" i="73"/>
  <c r="F54" i="73"/>
  <c r="F39" i="73"/>
  <c r="F34" i="73"/>
  <c r="F27" i="73"/>
  <c r="D21" i="73"/>
  <c r="F21" i="73" s="1"/>
  <c r="F19" i="73"/>
  <c r="F50" i="73"/>
  <c r="F45" i="73"/>
  <c r="F38" i="73"/>
  <c r="F26" i="73"/>
  <c r="F18" i="73"/>
  <c r="F64" i="73"/>
  <c r="F61" i="73"/>
  <c r="F56" i="73"/>
  <c r="F53" i="73"/>
  <c r="F37" i="73"/>
  <c r="F33" i="73"/>
  <c r="F25" i="73"/>
  <c r="F17" i="73"/>
  <c r="F52" i="73"/>
  <c r="F47" i="73"/>
  <c r="F44" i="73"/>
  <c r="F36" i="73"/>
  <c r="F32" i="73"/>
  <c r="F23" i="73"/>
  <c r="L12" i="73"/>
  <c r="N12" i="73" s="1"/>
  <c r="F78" i="73"/>
  <c r="F69" i="73"/>
  <c r="F63" i="73"/>
  <c r="F58" i="73"/>
  <c r="F55" i="73"/>
  <c r="F43" i="73"/>
  <c r="F35" i="73"/>
  <c r="F31" i="73"/>
  <c r="F73" i="73"/>
  <c r="F70" i="73"/>
  <c r="F49" i="73"/>
  <c r="F46" i="73"/>
  <c r="F42" i="73"/>
  <c r="F30" i="73"/>
  <c r="F65" i="73"/>
  <c r="F57" i="73"/>
  <c r="F51" i="73"/>
  <c r="F66" i="73"/>
  <c r="F48" i="73"/>
  <c r="F24" i="73"/>
  <c r="F28" i="73"/>
  <c r="F60" i="73"/>
  <c r="F40" i="73"/>
  <c r="F29" i="73"/>
  <c r="F41" i="73"/>
  <c r="F16" i="73"/>
  <c r="R75" i="69"/>
  <c r="R68" i="69"/>
  <c r="R63" i="69"/>
  <c r="R60" i="69"/>
  <c r="R77" i="69"/>
  <c r="R76" i="69"/>
  <c r="R70" i="69"/>
  <c r="R48" i="69"/>
  <c r="R44" i="69"/>
  <c r="R36" i="69"/>
  <c r="R33" i="69"/>
  <c r="R28" i="69"/>
  <c r="R20" i="69"/>
  <c r="R81" i="69"/>
  <c r="R66" i="69"/>
  <c r="R59" i="69"/>
  <c r="R47" i="69"/>
  <c r="R43" i="69"/>
  <c r="R35" i="69"/>
  <c r="R27" i="69"/>
  <c r="R64" i="69"/>
  <c r="R58" i="69"/>
  <c r="R46" i="69"/>
  <c r="R42" i="69"/>
  <c r="R26" i="69"/>
  <c r="R19" i="69"/>
  <c r="R69" i="69"/>
  <c r="R67" i="69"/>
  <c r="R65" i="69"/>
  <c r="R55" i="69"/>
  <c r="R41" i="69"/>
  <c r="R34" i="69"/>
  <c r="R25" i="69"/>
  <c r="R71" i="69"/>
  <c r="R62" i="69"/>
  <c r="R54" i="69"/>
  <c r="R53" i="69"/>
  <c r="R52" i="69"/>
  <c r="R45" i="69"/>
  <c r="R40" i="69"/>
  <c r="R31" i="69"/>
  <c r="R24" i="69"/>
  <c r="R61" i="69"/>
  <c r="R51" i="69"/>
  <c r="R39" i="69"/>
  <c r="P31" i="69"/>
  <c r="R23" i="69"/>
  <c r="R50" i="69"/>
  <c r="R37" i="69"/>
  <c r="X12" i="69"/>
  <c r="Z12" i="69" s="1"/>
  <c r="R74" i="69"/>
  <c r="R38" i="69"/>
  <c r="R29" i="69"/>
  <c r="R56" i="69"/>
  <c r="R72" i="69"/>
  <c r="R57" i="69"/>
  <c r="R22" i="69"/>
  <c r="R21" i="69"/>
  <c r="R49" i="69"/>
  <c r="F25" i="75"/>
  <c r="F17" i="75"/>
  <c r="D22" i="75"/>
  <c r="F22" i="75" s="1"/>
  <c r="F20" i="75"/>
  <c r="F28" i="75"/>
  <c r="F19" i="75"/>
  <c r="F26" i="75"/>
  <c r="F18" i="75"/>
  <c r="L12" i="75"/>
  <c r="N12" i="75" s="1"/>
  <c r="F32" i="75"/>
  <c r="F24" i="75"/>
  <c r="H114" i="67"/>
  <c r="T84" i="63"/>
  <c r="Z30" i="63"/>
  <c r="L16" i="60"/>
  <c r="D57" i="61"/>
  <c r="L16" i="61"/>
  <c r="H80" i="58"/>
  <c r="T80" i="58"/>
  <c r="L18" i="50"/>
  <c r="D27" i="50"/>
  <c r="X16" i="55"/>
  <c r="D82" i="56"/>
  <c r="H27" i="50"/>
  <c r="N18" i="50"/>
  <c r="F89" i="45"/>
  <c r="F85" i="45"/>
  <c r="F72" i="45"/>
  <c r="F68" i="45"/>
  <c r="F65" i="45"/>
  <c r="F60" i="45"/>
  <c r="F57" i="45"/>
  <c r="F52" i="45"/>
  <c r="F49" i="45"/>
  <c r="F45" i="45"/>
  <c r="F33" i="45"/>
  <c r="F97" i="45"/>
  <c r="F92" i="45"/>
  <c r="F84" i="45"/>
  <c r="F79" i="45"/>
  <c r="F76" i="45"/>
  <c r="F44" i="45"/>
  <c r="F32" i="45"/>
  <c r="F101" i="45"/>
  <c r="F95" i="45"/>
  <c r="F83" i="45"/>
  <c r="F75" i="45"/>
  <c r="F71" i="45"/>
  <c r="F67" i="45"/>
  <c r="F62" i="45"/>
  <c r="F59" i="45"/>
  <c r="F54" i="45"/>
  <c r="F51" i="45"/>
  <c r="F43" i="45"/>
  <c r="F31" i="45"/>
  <c r="F26" i="45"/>
  <c r="F18" i="45"/>
  <c r="F94" i="45"/>
  <c r="F82" i="45"/>
  <c r="F78" i="45"/>
  <c r="F74" i="45"/>
  <c r="F70" i="45"/>
  <c r="F42" i="45"/>
  <c r="F37" i="45"/>
  <c r="F30" i="45"/>
  <c r="F88" i="45"/>
  <c r="F81" i="45"/>
  <c r="F73" i="45"/>
  <c r="F69" i="45"/>
  <c r="F64" i="45"/>
  <c r="F61" i="45"/>
  <c r="F56" i="45"/>
  <c r="F53" i="45"/>
  <c r="F48" i="45"/>
  <c r="F41" i="45"/>
  <c r="F29" i="45"/>
  <c r="D23" i="45"/>
  <c r="F23" i="45" s="1"/>
  <c r="F21" i="45"/>
  <c r="F91" i="45"/>
  <c r="F80" i="45"/>
  <c r="F40" i="45"/>
  <c r="F36" i="45"/>
  <c r="F28" i="45"/>
  <c r="F20" i="45"/>
  <c r="L12" i="45"/>
  <c r="N12" i="45" s="1"/>
  <c r="F87" i="45"/>
  <c r="F66" i="45"/>
  <c r="F63" i="45"/>
  <c r="F58" i="45"/>
  <c r="F55" i="45"/>
  <c r="F50" i="45"/>
  <c r="F47" i="45"/>
  <c r="F39" i="45"/>
  <c r="F35" i="45"/>
  <c r="F27" i="45"/>
  <c r="F19" i="45"/>
  <c r="F93" i="45"/>
  <c r="F90" i="45"/>
  <c r="F86" i="45"/>
  <c r="F77" i="45"/>
  <c r="F46" i="45"/>
  <c r="F38" i="45"/>
  <c r="F34" i="45"/>
  <c r="F25" i="45"/>
  <c r="J111" i="39"/>
  <c r="X18" i="44"/>
  <c r="P27" i="44"/>
  <c r="X18" i="38"/>
  <c r="P27" i="38"/>
  <c r="D27" i="35"/>
  <c r="L18" i="35"/>
  <c r="H27" i="32"/>
  <c r="N18" i="32"/>
  <c r="D27" i="32"/>
  <c r="L18" i="32"/>
  <c r="X18" i="31"/>
  <c r="P27" i="31"/>
  <c r="T96" i="27"/>
  <c r="T36" i="32"/>
  <c r="Z36" i="32" s="1"/>
  <c r="Z31" i="32"/>
  <c r="H27" i="25"/>
  <c r="L27" i="25" s="1"/>
  <c r="N18" i="25"/>
  <c r="D117" i="36"/>
  <c r="L25" i="36"/>
  <c r="F83" i="21"/>
  <c r="F79" i="21"/>
  <c r="F75" i="21"/>
  <c r="F71" i="21"/>
  <c r="F67" i="21"/>
  <c r="F62" i="21"/>
  <c r="F59" i="21"/>
  <c r="F43" i="21"/>
  <c r="F31" i="21"/>
  <c r="F26" i="21"/>
  <c r="F18" i="21"/>
  <c r="F86" i="21"/>
  <c r="F78" i="21"/>
  <c r="F74" i="21"/>
  <c r="F53" i="21"/>
  <c r="F50" i="21"/>
  <c r="F42" i="21"/>
  <c r="F30" i="21"/>
  <c r="F23" i="21"/>
  <c r="F90" i="21"/>
  <c r="F77" i="21"/>
  <c r="F73" i="21"/>
  <c r="F64" i="21"/>
  <c r="F61" i="21"/>
  <c r="F56" i="21"/>
  <c r="F41" i="21"/>
  <c r="F36" i="21"/>
  <c r="F29" i="21"/>
  <c r="D23" i="21"/>
  <c r="F21" i="21"/>
  <c r="F94" i="21"/>
  <c r="F88" i="21"/>
  <c r="F52" i="21"/>
  <c r="F47" i="21"/>
  <c r="F40" i="21"/>
  <c r="F28" i="21"/>
  <c r="F20" i="21"/>
  <c r="L12" i="21"/>
  <c r="N12" i="21" s="1"/>
  <c r="F82" i="21"/>
  <c r="F70" i="21"/>
  <c r="F66" i="21"/>
  <c r="F63" i="21"/>
  <c r="F58" i="21"/>
  <c r="F55" i="21"/>
  <c r="F39" i="21"/>
  <c r="F35" i="21"/>
  <c r="F27" i="21"/>
  <c r="F19" i="21"/>
  <c r="F85" i="21"/>
  <c r="F54" i="21"/>
  <c r="F49" i="21"/>
  <c r="F46" i="21"/>
  <c r="F38" i="21"/>
  <c r="F34" i="21"/>
  <c r="F25" i="21"/>
  <c r="F81" i="21"/>
  <c r="F76" i="21"/>
  <c r="F72" i="21"/>
  <c r="F69" i="21"/>
  <c r="F65" i="21"/>
  <c r="F60" i="21"/>
  <c r="F57" i="21"/>
  <c r="F45" i="21"/>
  <c r="F37" i="21"/>
  <c r="F33" i="21"/>
  <c r="F87" i="21"/>
  <c r="F84" i="21"/>
  <c r="F80" i="21"/>
  <c r="F68" i="21"/>
  <c r="F51" i="21"/>
  <c r="F48" i="21"/>
  <c r="F44" i="21"/>
  <c r="F32" i="21"/>
  <c r="X18" i="20"/>
  <c r="P27" i="20"/>
  <c r="J23" i="21"/>
  <c r="Z27" i="23"/>
  <c r="T31" i="23"/>
  <c r="T158" i="12"/>
  <c r="V54" i="12"/>
  <c r="T27" i="8"/>
  <c r="Z18" i="8"/>
  <c r="P27" i="16"/>
  <c r="X18" i="16"/>
  <c r="D27" i="16"/>
  <c r="L18" i="16"/>
  <c r="H27" i="10"/>
  <c r="N18" i="10"/>
  <c r="H155" i="15"/>
  <c r="H158" i="12"/>
  <c r="H27" i="5"/>
  <c r="N18" i="5"/>
  <c r="P36" i="8"/>
  <c r="P31" i="5"/>
  <c r="R94" i="83"/>
  <c r="R87" i="83"/>
  <c r="R76" i="83"/>
  <c r="R71" i="83"/>
  <c r="R63" i="83"/>
  <c r="R59" i="83"/>
  <c r="R47" i="83"/>
  <c r="R44" i="83"/>
  <c r="R39" i="83"/>
  <c r="R27" i="83"/>
  <c r="R82" i="83"/>
  <c r="R79" i="83"/>
  <c r="R70" i="83"/>
  <c r="R66" i="83"/>
  <c r="R62" i="83"/>
  <c r="R58" i="83"/>
  <c r="R55" i="83"/>
  <c r="R50" i="83"/>
  <c r="R38" i="83"/>
  <c r="R26" i="83"/>
  <c r="R18" i="83"/>
  <c r="R91" i="83"/>
  <c r="R89" i="83"/>
  <c r="R85" i="83"/>
  <c r="R69" i="83"/>
  <c r="R61" i="83"/>
  <c r="R49" i="83"/>
  <c r="R46" i="83"/>
  <c r="R37" i="83"/>
  <c r="R25" i="83"/>
  <c r="R22" i="83"/>
  <c r="R17" i="83"/>
  <c r="R81" i="83"/>
  <c r="R68" i="83"/>
  <c r="R65" i="83"/>
  <c r="R57" i="83"/>
  <c r="R52" i="83"/>
  <c r="R36" i="83"/>
  <c r="R32" i="83"/>
  <c r="R24" i="83"/>
  <c r="X12" i="83"/>
  <c r="Z12" i="83" s="1"/>
  <c r="R75" i="83"/>
  <c r="R60" i="83"/>
  <c r="R48" i="83"/>
  <c r="R43" i="83"/>
  <c r="R35" i="83"/>
  <c r="R31" i="83"/>
  <c r="R16" i="83"/>
  <c r="R78" i="83"/>
  <c r="R74" i="83"/>
  <c r="R67" i="83"/>
  <c r="R54" i="83"/>
  <c r="R51" i="83"/>
  <c r="R42" i="83"/>
  <c r="R34" i="83"/>
  <c r="R30" i="83"/>
  <c r="R23" i="83"/>
  <c r="R84" i="83"/>
  <c r="R53" i="83"/>
  <c r="R73" i="83"/>
  <c r="R80" i="83"/>
  <c r="R77" i="83"/>
  <c r="R45" i="83"/>
  <c r="R40" i="83"/>
  <c r="R29" i="83"/>
  <c r="R20" i="83"/>
  <c r="R41" i="83"/>
  <c r="R33" i="83"/>
  <c r="P20" i="83"/>
  <c r="R56" i="83"/>
  <c r="R28" i="83"/>
  <c r="R64" i="83"/>
  <c r="R72" i="83"/>
  <c r="F86" i="76"/>
  <c r="F81" i="76"/>
  <c r="F74" i="76"/>
  <c r="F66" i="76"/>
  <c r="F54" i="76"/>
  <c r="F73" i="76"/>
  <c r="F60" i="76"/>
  <c r="F57" i="76"/>
  <c r="F85" i="76"/>
  <c r="F82" i="76"/>
  <c r="F78" i="76"/>
  <c r="F65" i="76"/>
  <c r="F53" i="76"/>
  <c r="F50" i="76"/>
  <c r="F93" i="76"/>
  <c r="F77" i="76"/>
  <c r="F72" i="76"/>
  <c r="F69" i="76"/>
  <c r="F61" i="76"/>
  <c r="F56" i="76"/>
  <c r="F84" i="76"/>
  <c r="F83" i="76"/>
  <c r="F76" i="76"/>
  <c r="F75" i="76"/>
  <c r="F68" i="76"/>
  <c r="F49" i="76"/>
  <c r="F42" i="76"/>
  <c r="F30" i="76"/>
  <c r="F23" i="76"/>
  <c r="F67" i="76"/>
  <c r="F48" i="76"/>
  <c r="F41" i="76"/>
  <c r="F36" i="76"/>
  <c r="F29" i="76"/>
  <c r="D23" i="76"/>
  <c r="F21" i="76"/>
  <c r="F47" i="76"/>
  <c r="F40" i="76"/>
  <c r="F28" i="76"/>
  <c r="F20" i="76"/>
  <c r="L12" i="76"/>
  <c r="N12" i="76" s="1"/>
  <c r="F89" i="76"/>
  <c r="F71" i="76"/>
  <c r="F70" i="76"/>
  <c r="F55" i="76"/>
  <c r="F39" i="76"/>
  <c r="F35" i="76"/>
  <c r="F27" i="76"/>
  <c r="F19" i="76"/>
  <c r="F88" i="76"/>
  <c r="F59" i="76"/>
  <c r="F58" i="76"/>
  <c r="F52" i="76"/>
  <c r="F46" i="76"/>
  <c r="F38" i="76"/>
  <c r="F34" i="76"/>
  <c r="F25" i="76"/>
  <c r="F51" i="76"/>
  <c r="F45" i="76"/>
  <c r="F37" i="76"/>
  <c r="F33" i="76"/>
  <c r="F18" i="76"/>
  <c r="F64" i="76"/>
  <c r="F31" i="76"/>
  <c r="F62" i="76"/>
  <c r="F43" i="76"/>
  <c r="F79" i="76"/>
  <c r="F26" i="76"/>
  <c r="F80" i="76"/>
  <c r="F44" i="76"/>
  <c r="F32" i="76"/>
  <c r="F63" i="76"/>
  <c r="L16" i="77"/>
  <c r="D26" i="77"/>
  <c r="F72" i="68"/>
  <c r="F67" i="68"/>
  <c r="F63" i="68"/>
  <c r="F59" i="68"/>
  <c r="F43" i="68"/>
  <c r="F31" i="68"/>
  <c r="F26" i="68"/>
  <c r="F70" i="68"/>
  <c r="F66" i="68"/>
  <c r="F53" i="68"/>
  <c r="F50" i="68"/>
  <c r="F42" i="68"/>
  <c r="F30" i="68"/>
  <c r="F23" i="68"/>
  <c r="L12" i="68"/>
  <c r="N12" i="68" s="1"/>
  <c r="F65" i="68"/>
  <c r="F56" i="68"/>
  <c r="F41" i="68"/>
  <c r="F36" i="68"/>
  <c r="F29" i="68"/>
  <c r="D23" i="68"/>
  <c r="F21" i="68"/>
  <c r="F73" i="68"/>
  <c r="F52" i="68"/>
  <c r="F47" i="68"/>
  <c r="F40" i="68"/>
  <c r="F28" i="68"/>
  <c r="F20" i="68"/>
  <c r="F62" i="68"/>
  <c r="F58" i="68"/>
  <c r="F55" i="68"/>
  <c r="F39" i="68"/>
  <c r="F35" i="68"/>
  <c r="F27" i="68"/>
  <c r="F69" i="68"/>
  <c r="F54" i="68"/>
  <c r="F49" i="68"/>
  <c r="F46" i="68"/>
  <c r="F38" i="68"/>
  <c r="F34" i="68"/>
  <c r="F25" i="68"/>
  <c r="F44" i="68"/>
  <c r="F64" i="68"/>
  <c r="F60" i="68"/>
  <c r="F45" i="68"/>
  <c r="F68" i="68"/>
  <c r="F32" i="68"/>
  <c r="F51" i="68"/>
  <c r="F37" i="68"/>
  <c r="F33" i="68"/>
  <c r="F19" i="68"/>
  <c r="F61" i="68"/>
  <c r="F57" i="68"/>
  <c r="F48" i="68"/>
  <c r="F77" i="68"/>
  <c r="Z16" i="64"/>
  <c r="T37" i="64"/>
  <c r="H27" i="53"/>
  <c r="N18" i="53"/>
  <c r="H27" i="46"/>
  <c r="N18" i="46"/>
  <c r="D27" i="37"/>
  <c r="L18" i="37"/>
  <c r="T27" i="41"/>
  <c r="Z18" i="41"/>
  <c r="T84" i="24"/>
  <c r="X18" i="22"/>
  <c r="H27" i="17"/>
  <c r="N18" i="17"/>
  <c r="T27" i="7"/>
  <c r="Z18" i="7"/>
  <c r="N27" i="94"/>
  <c r="H31" i="94"/>
  <c r="L31" i="94" s="1"/>
  <c r="H31" i="93"/>
  <c r="N27" i="93"/>
  <c r="H92" i="89"/>
  <c r="V23" i="88"/>
  <c r="L20" i="83"/>
  <c r="N20" i="83" s="1"/>
  <c r="D87" i="83"/>
  <c r="D30" i="79"/>
  <c r="L16" i="79"/>
  <c r="R82" i="76"/>
  <c r="R78" i="76"/>
  <c r="R93" i="76"/>
  <c r="R88" i="76"/>
  <c r="R77" i="76"/>
  <c r="R69" i="76"/>
  <c r="R61" i="76"/>
  <c r="R58" i="76"/>
  <c r="R86" i="76"/>
  <c r="R83" i="76"/>
  <c r="R74" i="76"/>
  <c r="R66" i="76"/>
  <c r="R54" i="76"/>
  <c r="R51" i="76"/>
  <c r="R89" i="76"/>
  <c r="R73" i="76"/>
  <c r="R70" i="76"/>
  <c r="R62" i="76"/>
  <c r="R57" i="76"/>
  <c r="R60" i="76"/>
  <c r="R46" i="76"/>
  <c r="R38" i="76"/>
  <c r="R34" i="76"/>
  <c r="R59" i="76"/>
  <c r="R52" i="76"/>
  <c r="R45" i="76"/>
  <c r="R37" i="76"/>
  <c r="R33" i="76"/>
  <c r="R26" i="76"/>
  <c r="R18" i="76"/>
  <c r="R63" i="76"/>
  <c r="R44" i="76"/>
  <c r="R32" i="76"/>
  <c r="R81" i="76"/>
  <c r="R80" i="76"/>
  <c r="R79" i="76"/>
  <c r="R65" i="76"/>
  <c r="R64" i="76"/>
  <c r="R50" i="76"/>
  <c r="R43" i="76"/>
  <c r="R36" i="76"/>
  <c r="R31" i="76"/>
  <c r="P23" i="76"/>
  <c r="R23" i="76" s="1"/>
  <c r="R75" i="76"/>
  <c r="R49" i="76"/>
  <c r="R42" i="76"/>
  <c r="R30" i="76"/>
  <c r="R85" i="76"/>
  <c r="R84" i="76"/>
  <c r="R76" i="76"/>
  <c r="R68" i="76"/>
  <c r="R67" i="76"/>
  <c r="R48" i="76"/>
  <c r="R47" i="76"/>
  <c r="R41" i="76"/>
  <c r="R29" i="76"/>
  <c r="R21" i="76"/>
  <c r="R28" i="76"/>
  <c r="R19" i="76"/>
  <c r="R72" i="76"/>
  <c r="R71" i="76"/>
  <c r="R56" i="76"/>
  <c r="R55" i="76"/>
  <c r="R20" i="76"/>
  <c r="R39" i="76"/>
  <c r="R25" i="76"/>
  <c r="R40" i="76"/>
  <c r="R35" i="76"/>
  <c r="R53" i="76"/>
  <c r="X12" i="76"/>
  <c r="Z12" i="76" s="1"/>
  <c r="R27" i="76"/>
  <c r="R87" i="82"/>
  <c r="R79" i="82"/>
  <c r="R75" i="82"/>
  <c r="R71" i="82"/>
  <c r="R67" i="82"/>
  <c r="R64" i="82"/>
  <c r="R59" i="82"/>
  <c r="R56" i="82"/>
  <c r="R43" i="82"/>
  <c r="R36" i="82"/>
  <c r="R31" i="82"/>
  <c r="P23" i="82"/>
  <c r="R83" i="82"/>
  <c r="R78" i="82"/>
  <c r="R70" i="82"/>
  <c r="R50" i="82"/>
  <c r="R47" i="82"/>
  <c r="R42" i="82"/>
  <c r="R30" i="82"/>
  <c r="R89" i="82"/>
  <c r="R86" i="82"/>
  <c r="R77" i="82"/>
  <c r="R74" i="82"/>
  <c r="R66" i="82"/>
  <c r="R61" i="82"/>
  <c r="R58" i="82"/>
  <c r="R41" i="82"/>
  <c r="R29" i="82"/>
  <c r="R21" i="82"/>
  <c r="R88" i="82"/>
  <c r="R76" i="82"/>
  <c r="R63" i="82"/>
  <c r="R60" i="82"/>
  <c r="R55" i="82"/>
  <c r="R39" i="82"/>
  <c r="R35" i="82"/>
  <c r="R27" i="82"/>
  <c r="R19" i="82"/>
  <c r="R82" i="82"/>
  <c r="R54" i="82"/>
  <c r="R51" i="82"/>
  <c r="R46" i="82"/>
  <c r="R38" i="82"/>
  <c r="R34" i="82"/>
  <c r="R92" i="82"/>
  <c r="R73" i="82"/>
  <c r="R40" i="82"/>
  <c r="R91" i="82"/>
  <c r="R57" i="82"/>
  <c r="R52" i="82"/>
  <c r="R32" i="82"/>
  <c r="R84" i="82"/>
  <c r="R53" i="82"/>
  <c r="R44" i="82"/>
  <c r="R37" i="82"/>
  <c r="R33" i="82"/>
  <c r="R85" i="82"/>
  <c r="R80" i="82"/>
  <c r="R49" i="82"/>
  <c r="R45" i="82"/>
  <c r="R26" i="82"/>
  <c r="R81" i="82"/>
  <c r="R18" i="82"/>
  <c r="R96" i="82"/>
  <c r="R28" i="82"/>
  <c r="R23" i="82"/>
  <c r="R25" i="82"/>
  <c r="R20" i="82"/>
  <c r="X12" i="82"/>
  <c r="Z12" i="82" s="1"/>
  <c r="R69" i="82"/>
  <c r="R68" i="82"/>
  <c r="R65" i="82"/>
  <c r="R72" i="82"/>
  <c r="R48" i="82"/>
  <c r="R62" i="82"/>
  <c r="V24" i="74"/>
  <c r="D94" i="74"/>
  <c r="L90" i="74"/>
  <c r="P76" i="71"/>
  <c r="T72" i="71"/>
  <c r="X72" i="71" s="1"/>
  <c r="Z20" i="71"/>
  <c r="H25" i="72"/>
  <c r="J19" i="72"/>
  <c r="T91" i="76"/>
  <c r="R85" i="74"/>
  <c r="R72" i="74"/>
  <c r="R68" i="74"/>
  <c r="R65" i="74"/>
  <c r="R60" i="74"/>
  <c r="R44" i="74"/>
  <c r="R37" i="74"/>
  <c r="R32" i="74"/>
  <c r="P24" i="74"/>
  <c r="R79" i="74"/>
  <c r="R75" i="74"/>
  <c r="R71" i="74"/>
  <c r="R56" i="74"/>
  <c r="R51" i="74"/>
  <c r="R48" i="74"/>
  <c r="R43" i="74"/>
  <c r="R31" i="74"/>
  <c r="R78" i="74"/>
  <c r="R74" i="74"/>
  <c r="R67" i="74"/>
  <c r="R62" i="74"/>
  <c r="R59" i="74"/>
  <c r="R42" i="74"/>
  <c r="R30" i="74"/>
  <c r="R22" i="74"/>
  <c r="R88" i="74"/>
  <c r="R81" i="74"/>
  <c r="R77" i="74"/>
  <c r="R70" i="74"/>
  <c r="R53" i="74"/>
  <c r="R50" i="74"/>
  <c r="R41" i="74"/>
  <c r="R29" i="74"/>
  <c r="R26" i="74"/>
  <c r="R21" i="74"/>
  <c r="R84" i="74"/>
  <c r="R73" i="74"/>
  <c r="R64" i="74"/>
  <c r="R61" i="74"/>
  <c r="R40" i="74"/>
  <c r="R36" i="74"/>
  <c r="R28" i="74"/>
  <c r="R20" i="74"/>
  <c r="X12" i="74"/>
  <c r="Z12" i="74" s="1"/>
  <c r="R83" i="74"/>
  <c r="R80" i="74"/>
  <c r="R76" i="74"/>
  <c r="R55" i="74"/>
  <c r="R52" i="74"/>
  <c r="R47" i="74"/>
  <c r="R39" i="74"/>
  <c r="R35" i="74"/>
  <c r="R19" i="74"/>
  <c r="R66" i="74"/>
  <c r="R46" i="74"/>
  <c r="R34" i="74"/>
  <c r="R18" i="74"/>
  <c r="R63" i="74"/>
  <c r="R58" i="74"/>
  <c r="R82" i="74"/>
  <c r="R38" i="74"/>
  <c r="R24" i="74"/>
  <c r="R92" i="74"/>
  <c r="R86" i="74"/>
  <c r="R49" i="74"/>
  <c r="R33" i="74"/>
  <c r="R45" i="74"/>
  <c r="R69" i="74"/>
  <c r="R54" i="74"/>
  <c r="R27" i="74"/>
  <c r="R57" i="74"/>
  <c r="X16" i="78"/>
  <c r="F67" i="69"/>
  <c r="F62" i="69"/>
  <c r="F59" i="69"/>
  <c r="F81" i="69"/>
  <c r="F76" i="69"/>
  <c r="F74" i="69"/>
  <c r="F69" i="69"/>
  <c r="F72" i="69"/>
  <c r="F75" i="69"/>
  <c r="F54" i="69"/>
  <c r="F71" i="69"/>
  <c r="F70" i="69"/>
  <c r="F58" i="69"/>
  <c r="F52" i="69"/>
  <c r="F40" i="69"/>
  <c r="F24" i="69"/>
  <c r="F19" i="69"/>
  <c r="F61" i="69"/>
  <c r="F57" i="69"/>
  <c r="F51" i="69"/>
  <c r="F39" i="69"/>
  <c r="F34" i="69"/>
  <c r="F23" i="69"/>
  <c r="F50" i="69"/>
  <c r="F45" i="69"/>
  <c r="F38" i="69"/>
  <c r="F22" i="69"/>
  <c r="L12" i="69"/>
  <c r="N12" i="69" s="1"/>
  <c r="F60" i="69"/>
  <c r="F49" i="69"/>
  <c r="F37" i="69"/>
  <c r="D31" i="69"/>
  <c r="F31" i="69" s="1"/>
  <c r="F29" i="69"/>
  <c r="F21" i="69"/>
  <c r="F48" i="69"/>
  <c r="F44" i="69"/>
  <c r="F36" i="69"/>
  <c r="F28" i="69"/>
  <c r="F20" i="69"/>
  <c r="F77" i="69"/>
  <c r="F66" i="69"/>
  <c r="F65" i="69"/>
  <c r="F56" i="69"/>
  <c r="F47" i="69"/>
  <c r="F43" i="69"/>
  <c r="F35" i="69"/>
  <c r="F27" i="69"/>
  <c r="F53" i="69"/>
  <c r="F63" i="69"/>
  <c r="F41" i="69"/>
  <c r="F46" i="69"/>
  <c r="F42" i="69"/>
  <c r="F33" i="69"/>
  <c r="F64" i="69"/>
  <c r="F68" i="69"/>
  <c r="F55" i="69"/>
  <c r="F25" i="69"/>
  <c r="F26" i="69"/>
  <c r="V25" i="72"/>
  <c r="T29" i="72"/>
  <c r="J31" i="69"/>
  <c r="H79" i="69"/>
  <c r="T110" i="67"/>
  <c r="V40" i="67"/>
  <c r="F85" i="65"/>
  <c r="F83" i="65"/>
  <c r="F84" i="65"/>
  <c r="F80" i="65"/>
  <c r="F79" i="65"/>
  <c r="F78" i="65"/>
  <c r="F54" i="65"/>
  <c r="F46" i="65"/>
  <c r="F42" i="65"/>
  <c r="F33" i="65"/>
  <c r="F26" i="65"/>
  <c r="F72" i="65"/>
  <c r="F68" i="65"/>
  <c r="F65" i="65"/>
  <c r="F60" i="65"/>
  <c r="F57" i="65"/>
  <c r="F53" i="65"/>
  <c r="F41" i="65"/>
  <c r="F25" i="65"/>
  <c r="F52" i="65"/>
  <c r="F40" i="65"/>
  <c r="F24" i="65"/>
  <c r="F19" i="65"/>
  <c r="F74" i="65"/>
  <c r="F71" i="65"/>
  <c r="F67" i="65"/>
  <c r="F62" i="65"/>
  <c r="F59" i="65"/>
  <c r="F51" i="65"/>
  <c r="F39" i="65"/>
  <c r="F34" i="65"/>
  <c r="F23" i="65"/>
  <c r="F91" i="65"/>
  <c r="F77" i="65"/>
  <c r="F70" i="65"/>
  <c r="F50" i="65"/>
  <c r="F45" i="65"/>
  <c r="F38" i="65"/>
  <c r="F31" i="65"/>
  <c r="F22" i="65"/>
  <c r="L12" i="65"/>
  <c r="N12" i="65" s="1"/>
  <c r="F81" i="65"/>
  <c r="F73" i="65"/>
  <c r="F69" i="65"/>
  <c r="F64" i="65"/>
  <c r="F61" i="65"/>
  <c r="F56" i="65"/>
  <c r="F49" i="65"/>
  <c r="F37" i="65"/>
  <c r="D31" i="65"/>
  <c r="F29" i="65"/>
  <c r="F21" i="65"/>
  <c r="F76" i="65"/>
  <c r="F48" i="65"/>
  <c r="F44" i="65"/>
  <c r="F36" i="65"/>
  <c r="F28" i="65"/>
  <c r="F20" i="65"/>
  <c r="F75" i="65"/>
  <c r="F35" i="65"/>
  <c r="F86" i="65"/>
  <c r="F27" i="65"/>
  <c r="F87" i="65"/>
  <c r="F66" i="65"/>
  <c r="F55" i="65"/>
  <c r="F63" i="65"/>
  <c r="F43" i="65"/>
  <c r="F47" i="65"/>
  <c r="F58" i="65"/>
  <c r="P91" i="63"/>
  <c r="N16" i="57"/>
  <c r="H67" i="57"/>
  <c r="H75" i="56"/>
  <c r="N16" i="56"/>
  <c r="X27" i="52"/>
  <c r="P31" i="52"/>
  <c r="T27" i="47"/>
  <c r="Z18" i="47"/>
  <c r="T83" i="51"/>
  <c r="R23" i="45"/>
  <c r="T27" i="37"/>
  <c r="Z18" i="37"/>
  <c r="T27" i="40"/>
  <c r="X27" i="40" s="1"/>
  <c r="Z18" i="40"/>
  <c r="X25" i="39"/>
  <c r="Z25" i="39" s="1"/>
  <c r="P111" i="39"/>
  <c r="T27" i="35"/>
  <c r="X27" i="35" s="1"/>
  <c r="Z18" i="35"/>
  <c r="X18" i="26"/>
  <c r="P27" i="26"/>
  <c r="D111" i="39"/>
  <c r="L25" i="39"/>
  <c r="N25" i="39" s="1"/>
  <c r="P31" i="40"/>
  <c r="D31" i="34"/>
  <c r="H117" i="36"/>
  <c r="N25" i="36"/>
  <c r="P84" i="24"/>
  <c r="X30" i="24"/>
  <c r="Z30" i="24" s="1"/>
  <c r="X18" i="23"/>
  <c r="P27" i="23"/>
  <c r="T159" i="18"/>
  <c r="V30" i="24"/>
  <c r="Z27" i="26"/>
  <c r="T31" i="26"/>
  <c r="P31" i="22"/>
  <c r="X18" i="11"/>
  <c r="P27" i="11"/>
  <c r="H88" i="24"/>
  <c r="H27" i="4"/>
  <c r="N18" i="4"/>
  <c r="T31" i="14" l="1"/>
  <c r="P31" i="53"/>
  <c r="N31" i="49"/>
  <c r="T31" i="16"/>
  <c r="T36" i="16" s="1"/>
  <c r="Z36" i="16" s="1"/>
  <c r="Z31" i="4"/>
  <c r="L27" i="38"/>
  <c r="D31" i="38"/>
  <c r="N27" i="41"/>
  <c r="H31" i="41"/>
  <c r="L27" i="50"/>
  <c r="D31" i="50"/>
  <c r="H73" i="59"/>
  <c r="T31" i="20"/>
  <c r="Z27" i="20"/>
  <c r="L17" i="48"/>
  <c r="N17" i="48" s="1"/>
  <c r="D75" i="48"/>
  <c r="D105" i="62"/>
  <c r="L101" i="62"/>
  <c r="N101" i="62" s="1"/>
  <c r="P31" i="10"/>
  <c r="X27" i="10"/>
  <c r="T31" i="47"/>
  <c r="Z27" i="47"/>
  <c r="R91" i="63"/>
  <c r="T95" i="76"/>
  <c r="V91" i="76"/>
  <c r="P79" i="71"/>
  <c r="L87" i="83"/>
  <c r="N87" i="83" s="1"/>
  <c r="D91" i="83"/>
  <c r="T41" i="64"/>
  <c r="T162" i="12"/>
  <c r="V158" i="12"/>
  <c r="H34" i="79"/>
  <c r="D108" i="42"/>
  <c r="L24" i="42"/>
  <c r="N24" i="42" s="1"/>
  <c r="Z27" i="38"/>
  <c r="T31" i="38"/>
  <c r="P36" i="46"/>
  <c r="X36" i="46" s="1"/>
  <c r="X31" i="46"/>
  <c r="H62" i="60"/>
  <c r="P82" i="91"/>
  <c r="R79" i="91"/>
  <c r="X71" i="57"/>
  <c r="P74" i="57"/>
  <c r="X74" i="57" s="1"/>
  <c r="P179" i="3"/>
  <c r="X175" i="3"/>
  <c r="R175" i="3"/>
  <c r="D163" i="18"/>
  <c r="L159" i="18"/>
  <c r="F159" i="18"/>
  <c r="D36" i="25"/>
  <c r="P70" i="59"/>
  <c r="X66" i="59"/>
  <c r="D96" i="89"/>
  <c r="L92" i="89"/>
  <c r="F92" i="89"/>
  <c r="P31" i="7"/>
  <c r="X27" i="7"/>
  <c r="D79" i="33"/>
  <c r="L75" i="33"/>
  <c r="N75" i="33" s="1"/>
  <c r="F75" i="33"/>
  <c r="T79" i="33"/>
  <c r="V75" i="33"/>
  <c r="P31" i="49"/>
  <c r="X27" i="49"/>
  <c r="Z71" i="57"/>
  <c r="T74" i="57"/>
  <c r="T79" i="48"/>
  <c r="Z75" i="48"/>
  <c r="V75" i="48"/>
  <c r="D36" i="14"/>
  <c r="H31" i="14"/>
  <c r="N27" i="14"/>
  <c r="D31" i="23"/>
  <c r="L27" i="23"/>
  <c r="H36" i="37"/>
  <c r="N36" i="37" s="1"/>
  <c r="N31" i="37"/>
  <c r="H94" i="74"/>
  <c r="N90" i="74"/>
  <c r="J90" i="74"/>
  <c r="P31" i="6"/>
  <c r="X31" i="6" s="1"/>
  <c r="X26" i="6"/>
  <c r="P36" i="34"/>
  <c r="X31" i="34"/>
  <c r="H83" i="51"/>
  <c r="J79" i="51"/>
  <c r="T31" i="31"/>
  <c r="Z27" i="31"/>
  <c r="H31" i="10"/>
  <c r="L31" i="10" s="1"/>
  <c r="N27" i="10"/>
  <c r="T91" i="83"/>
  <c r="V87" i="83"/>
  <c r="P93" i="65"/>
  <c r="X89" i="65"/>
  <c r="Z89" i="65" s="1"/>
  <c r="R89" i="65"/>
  <c r="T31" i="41"/>
  <c r="Z27" i="41"/>
  <c r="H31" i="5"/>
  <c r="N27" i="5"/>
  <c r="D31" i="16"/>
  <c r="L27" i="16"/>
  <c r="Z31" i="23"/>
  <c r="T36" i="23"/>
  <c r="Z36" i="23" s="1"/>
  <c r="V96" i="27"/>
  <c r="D31" i="35"/>
  <c r="L27" i="35"/>
  <c r="T88" i="63"/>
  <c r="X84" i="63"/>
  <c r="Z84" i="63" s="1"/>
  <c r="V84" i="63"/>
  <c r="D25" i="72"/>
  <c r="L19" i="72"/>
  <c r="N19" i="72" s="1"/>
  <c r="Z28" i="81"/>
  <c r="T32" i="81"/>
  <c r="L23" i="82"/>
  <c r="N23" i="82" s="1"/>
  <c r="D94" i="82"/>
  <c r="L89" i="88"/>
  <c r="D93" i="88"/>
  <c r="F89" i="88"/>
  <c r="N27" i="11"/>
  <c r="H31" i="11"/>
  <c r="P65" i="60"/>
  <c r="X62" i="60"/>
  <c r="T79" i="68"/>
  <c r="V75" i="68"/>
  <c r="P25" i="72"/>
  <c r="X19" i="72"/>
  <c r="Z19" i="72" s="1"/>
  <c r="T36" i="92"/>
  <c r="Z36" i="92" s="1"/>
  <c r="Z31" i="92"/>
  <c r="D175" i="3"/>
  <c r="L62" i="3"/>
  <c r="N62" i="3" s="1"/>
  <c r="F62" i="3"/>
  <c r="L27" i="8"/>
  <c r="D31" i="8"/>
  <c r="T101" i="9"/>
  <c r="J82" i="48"/>
  <c r="X27" i="47"/>
  <c r="P31" i="47"/>
  <c r="P79" i="51"/>
  <c r="X31" i="51"/>
  <c r="Z31" i="51" s="1"/>
  <c r="L58" i="60"/>
  <c r="N58" i="60" s="1"/>
  <c r="T32" i="80"/>
  <c r="T101" i="82"/>
  <c r="V98" i="82"/>
  <c r="P36" i="92"/>
  <c r="X31" i="92"/>
  <c r="D88" i="24"/>
  <c r="L84" i="24"/>
  <c r="N84" i="24" s="1"/>
  <c r="F84" i="24"/>
  <c r="N27" i="31"/>
  <c r="H31" i="31"/>
  <c r="H95" i="76"/>
  <c r="J91" i="76"/>
  <c r="Z27" i="93"/>
  <c r="T31" i="93"/>
  <c r="H31" i="47"/>
  <c r="N27" i="47"/>
  <c r="T96" i="65"/>
  <c r="V93" i="65"/>
  <c r="P55" i="84"/>
  <c r="X51" i="84"/>
  <c r="Z51" i="84" s="1"/>
  <c r="D36" i="4"/>
  <c r="H26" i="6"/>
  <c r="N22" i="6"/>
  <c r="L27" i="22"/>
  <c r="D31" i="22"/>
  <c r="D36" i="29"/>
  <c r="P36" i="43"/>
  <c r="X36" i="43" s="1"/>
  <c r="X31" i="43"/>
  <c r="D79" i="51"/>
  <c r="L31" i="51"/>
  <c r="N31" i="51" s="1"/>
  <c r="D99" i="90"/>
  <c r="L96" i="90"/>
  <c r="N96" i="90" s="1"/>
  <c r="F96" i="90"/>
  <c r="D75" i="91"/>
  <c r="L17" i="91"/>
  <c r="N17" i="91" s="1"/>
  <c r="D36" i="49"/>
  <c r="L36" i="49" s="1"/>
  <c r="L31" i="49"/>
  <c r="D34" i="79"/>
  <c r="L30" i="79"/>
  <c r="N30" i="79" s="1"/>
  <c r="V99" i="89"/>
  <c r="H31" i="22"/>
  <c r="N27" i="22"/>
  <c r="T65" i="60"/>
  <c r="Z62" i="60"/>
  <c r="X34" i="79"/>
  <c r="P37" i="79"/>
  <c r="T31" i="40"/>
  <c r="X31" i="40" s="1"/>
  <c r="Z27" i="40"/>
  <c r="H31" i="4"/>
  <c r="L31" i="4" s="1"/>
  <c r="N27" i="4"/>
  <c r="T31" i="7"/>
  <c r="Z27" i="7"/>
  <c r="P36" i="5"/>
  <c r="P31" i="31"/>
  <c r="X27" i="31"/>
  <c r="P31" i="38"/>
  <c r="X27" i="38"/>
  <c r="T83" i="58"/>
  <c r="F19" i="72"/>
  <c r="L75" i="78"/>
  <c r="D79" i="78"/>
  <c r="H31" i="16"/>
  <c r="N27" i="16"/>
  <c r="T61" i="61"/>
  <c r="R19" i="72"/>
  <c r="P32" i="81"/>
  <c r="X28" i="81"/>
  <c r="D36" i="10"/>
  <c r="N27" i="52"/>
  <c r="H31" i="52"/>
  <c r="D65" i="60"/>
  <c r="L62" i="60"/>
  <c r="H41" i="64"/>
  <c r="P92" i="89"/>
  <c r="X23" i="89"/>
  <c r="Z23" i="89" s="1"/>
  <c r="Z27" i="11"/>
  <c r="T31" i="11"/>
  <c r="H179" i="3"/>
  <c r="J175" i="3"/>
  <c r="P31" i="37"/>
  <c r="X27" i="37"/>
  <c r="T105" i="62"/>
  <c r="Z101" i="62"/>
  <c r="P36" i="4"/>
  <c r="X36" i="4" s="1"/>
  <c r="X31" i="4"/>
  <c r="Z27" i="13"/>
  <c r="T31" i="13"/>
  <c r="D31" i="40"/>
  <c r="L27" i="40"/>
  <c r="X40" i="30"/>
  <c r="Z40" i="30" s="1"/>
  <c r="P122" i="30"/>
  <c r="P117" i="36"/>
  <c r="X25" i="36"/>
  <c r="Z25" i="36" s="1"/>
  <c r="P41" i="64"/>
  <c r="X37" i="64"/>
  <c r="Z37" i="64" s="1"/>
  <c r="T34" i="79"/>
  <c r="Z30" i="79"/>
  <c r="L27" i="4"/>
  <c r="P108" i="62"/>
  <c r="X105" i="62"/>
  <c r="D114" i="67"/>
  <c r="L110" i="67"/>
  <c r="N110" i="67" s="1"/>
  <c r="F110" i="67"/>
  <c r="H30" i="77"/>
  <c r="N26" i="77"/>
  <c r="H99" i="90"/>
  <c r="J96" i="90"/>
  <c r="H83" i="69"/>
  <c r="J79" i="69"/>
  <c r="N27" i="53"/>
  <c r="H31" i="53"/>
  <c r="N27" i="32"/>
  <c r="H31" i="32"/>
  <c r="L151" i="15"/>
  <c r="N151" i="15" s="1"/>
  <c r="D155" i="15"/>
  <c r="F151" i="15"/>
  <c r="X56" i="18"/>
  <c r="Z56" i="18" s="1"/>
  <c r="P159" i="18"/>
  <c r="Z27" i="50"/>
  <c r="T31" i="50"/>
  <c r="N59" i="87"/>
  <c r="H63" i="87"/>
  <c r="T112" i="42"/>
  <c r="V108" i="42"/>
  <c r="J106" i="45"/>
  <c r="H104" i="9"/>
  <c r="P36" i="52"/>
  <c r="T32" i="72"/>
  <c r="V29" i="72"/>
  <c r="X27" i="26"/>
  <c r="P31" i="26"/>
  <c r="H91" i="24"/>
  <c r="J88" i="24"/>
  <c r="H121" i="36"/>
  <c r="N117" i="36"/>
  <c r="J117" i="36"/>
  <c r="T31" i="37"/>
  <c r="Z27" i="37"/>
  <c r="D97" i="74"/>
  <c r="F94" i="74"/>
  <c r="H96" i="89"/>
  <c r="N92" i="89"/>
  <c r="J92" i="89"/>
  <c r="D31" i="37"/>
  <c r="L27" i="37"/>
  <c r="D91" i="76"/>
  <c r="L23" i="76"/>
  <c r="N23" i="76" s="1"/>
  <c r="H162" i="12"/>
  <c r="J158" i="12"/>
  <c r="X27" i="16"/>
  <c r="P31" i="16"/>
  <c r="L117" i="36"/>
  <c r="D121" i="36"/>
  <c r="F117" i="36"/>
  <c r="N27" i="50"/>
  <c r="H31" i="50"/>
  <c r="H83" i="58"/>
  <c r="H117" i="67"/>
  <c r="J114" i="67"/>
  <c r="D63" i="87"/>
  <c r="L59" i="87"/>
  <c r="N27" i="29"/>
  <c r="H31" i="29"/>
  <c r="T31" i="6"/>
  <c r="Z26" i="6"/>
  <c r="D101" i="9"/>
  <c r="L97" i="9"/>
  <c r="N97" i="9" s="1"/>
  <c r="P36" i="35"/>
  <c r="H31" i="40"/>
  <c r="N27" i="40"/>
  <c r="T79" i="78"/>
  <c r="X79" i="78" s="1"/>
  <c r="Z75" i="78"/>
  <c r="H79" i="91"/>
  <c r="J75" i="91"/>
  <c r="D93" i="27"/>
  <c r="L89" i="27"/>
  <c r="N89" i="27" s="1"/>
  <c r="F89" i="27"/>
  <c r="H58" i="84"/>
  <c r="L27" i="10"/>
  <c r="X27" i="17"/>
  <c r="P31" i="17"/>
  <c r="H163" i="18"/>
  <c r="N159" i="18"/>
  <c r="J159" i="18"/>
  <c r="H93" i="27"/>
  <c r="J89" i="27"/>
  <c r="H126" i="30"/>
  <c r="J122" i="30"/>
  <c r="P110" i="67"/>
  <c r="X40" i="67"/>
  <c r="Z40" i="67" s="1"/>
  <c r="X86" i="73"/>
  <c r="Z86" i="73" s="1"/>
  <c r="P90" i="73"/>
  <c r="R86" i="73"/>
  <c r="P82" i="78"/>
  <c r="L36" i="19"/>
  <c r="D31" i="28"/>
  <c r="L27" i="28"/>
  <c r="D35" i="55"/>
  <c r="L31" i="55"/>
  <c r="N31" i="55" s="1"/>
  <c r="P80" i="58"/>
  <c r="X76" i="58"/>
  <c r="Z76" i="58" s="1"/>
  <c r="T93" i="88"/>
  <c r="V89" i="88"/>
  <c r="P101" i="9"/>
  <c r="X97" i="9"/>
  <c r="Z97" i="9" s="1"/>
  <c r="T36" i="25"/>
  <c r="Z36" i="25" s="1"/>
  <c r="Z31" i="25"/>
  <c r="T96" i="21"/>
  <c r="Z92" i="21"/>
  <c r="V92" i="21"/>
  <c r="H118" i="39"/>
  <c r="J115" i="39"/>
  <c r="R25" i="36"/>
  <c r="T31" i="44"/>
  <c r="Z27" i="44"/>
  <c r="T35" i="55"/>
  <c r="X31" i="55"/>
  <c r="Z31" i="55" s="1"/>
  <c r="X22" i="75"/>
  <c r="Z22" i="75" s="1"/>
  <c r="P30" i="75"/>
  <c r="P96" i="21"/>
  <c r="X92" i="21"/>
  <c r="R92" i="21"/>
  <c r="T124" i="36"/>
  <c r="V121" i="36"/>
  <c r="H79" i="68"/>
  <c r="J75" i="68"/>
  <c r="T34" i="75"/>
  <c r="V30" i="75"/>
  <c r="T88" i="24"/>
  <c r="V84" i="24"/>
  <c r="T126" i="30"/>
  <c r="V122" i="30"/>
  <c r="D31" i="43"/>
  <c r="L27" i="43"/>
  <c r="X27" i="25"/>
  <c r="P31" i="25"/>
  <c r="D31" i="44"/>
  <c r="L27" i="44"/>
  <c r="P61" i="61"/>
  <c r="X57" i="61"/>
  <c r="Z57" i="61" s="1"/>
  <c r="X84" i="24"/>
  <c r="Z84" i="24" s="1"/>
  <c r="P88" i="24"/>
  <c r="R84" i="24"/>
  <c r="H31" i="17"/>
  <c r="L31" i="17" s="1"/>
  <c r="N27" i="17"/>
  <c r="L23" i="21"/>
  <c r="N23" i="21" s="1"/>
  <c r="D92" i="21"/>
  <c r="P31" i="44"/>
  <c r="X27" i="44"/>
  <c r="L23" i="45"/>
  <c r="N23" i="45" s="1"/>
  <c r="D99" i="45"/>
  <c r="D32" i="85"/>
  <c r="L28" i="85"/>
  <c r="X27" i="93"/>
  <c r="P31" i="93"/>
  <c r="P31" i="14"/>
  <c r="X27" i="14"/>
  <c r="D31" i="47"/>
  <c r="L27" i="47"/>
  <c r="P36" i="53"/>
  <c r="X36" i="53" s="1"/>
  <c r="X31" i="53"/>
  <c r="R43" i="86"/>
  <c r="L27" i="17"/>
  <c r="N27" i="13"/>
  <c r="H31" i="13"/>
  <c r="L31" i="13" s="1"/>
  <c r="P112" i="42"/>
  <c r="X108" i="42"/>
  <c r="Z108" i="42" s="1"/>
  <c r="R108" i="42"/>
  <c r="P26" i="54"/>
  <c r="X22" i="54"/>
  <c r="L30" i="63"/>
  <c r="N30" i="63" s="1"/>
  <c r="D84" i="63"/>
  <c r="F30" i="63"/>
  <c r="T83" i="69"/>
  <c r="V79" i="69"/>
  <c r="P96" i="90"/>
  <c r="X92" i="90"/>
  <c r="R92" i="90"/>
  <c r="H31" i="26"/>
  <c r="L31" i="26" s="1"/>
  <c r="N27" i="26"/>
  <c r="X27" i="13"/>
  <c r="P31" i="13"/>
  <c r="Z79" i="56"/>
  <c r="T82" i="56"/>
  <c r="H108" i="62"/>
  <c r="H93" i="65"/>
  <c r="J89" i="65"/>
  <c r="T36" i="10"/>
  <c r="Z36" i="10" s="1"/>
  <c r="Z31" i="10"/>
  <c r="D31" i="5"/>
  <c r="L27" i="5"/>
  <c r="L27" i="26"/>
  <c r="P31" i="28"/>
  <c r="X27" i="28"/>
  <c r="D55" i="84"/>
  <c r="L51" i="84"/>
  <c r="N51" i="84" s="1"/>
  <c r="H93" i="88"/>
  <c r="N89" i="88"/>
  <c r="J89" i="88"/>
  <c r="P151" i="15"/>
  <c r="X50" i="15"/>
  <c r="Z50" i="15" s="1"/>
  <c r="D31" i="7"/>
  <c r="L27" i="7"/>
  <c r="X23" i="33"/>
  <c r="Z23" i="33" s="1"/>
  <c r="P75" i="33"/>
  <c r="Z31" i="34"/>
  <c r="T36" i="34"/>
  <c r="Z36" i="34" s="1"/>
  <c r="Z27" i="52"/>
  <c r="T31" i="52"/>
  <c r="H31" i="43"/>
  <c r="N27" i="43"/>
  <c r="D70" i="59"/>
  <c r="L66" i="59"/>
  <c r="N66" i="59" s="1"/>
  <c r="H32" i="80"/>
  <c r="T63" i="87"/>
  <c r="P89" i="88"/>
  <c r="X23" i="88"/>
  <c r="Z23" i="88" s="1"/>
  <c r="L27" i="92"/>
  <c r="D31" i="92"/>
  <c r="N27" i="92"/>
  <c r="H31" i="92"/>
  <c r="H34" i="75"/>
  <c r="J30" i="75"/>
  <c r="P36" i="22"/>
  <c r="T76" i="71"/>
  <c r="Z72" i="71"/>
  <c r="V72" i="71"/>
  <c r="P91" i="76"/>
  <c r="X23" i="76"/>
  <c r="Z23" i="76" s="1"/>
  <c r="H36" i="94"/>
  <c r="N36" i="94" s="1"/>
  <c r="N31" i="94"/>
  <c r="H32" i="81"/>
  <c r="N28" i="81"/>
  <c r="H40" i="86"/>
  <c r="D41" i="64"/>
  <c r="L37" i="64"/>
  <c r="N37" i="64" s="1"/>
  <c r="Z31" i="26"/>
  <c r="T36" i="26"/>
  <c r="Z36" i="26" s="1"/>
  <c r="D115" i="39"/>
  <c r="L111" i="39"/>
  <c r="N111" i="39" s="1"/>
  <c r="F111" i="39"/>
  <c r="T163" i="18"/>
  <c r="V159" i="18"/>
  <c r="H79" i="56"/>
  <c r="L75" i="56"/>
  <c r="N75" i="56" s="1"/>
  <c r="D89" i="65"/>
  <c r="L31" i="65"/>
  <c r="N31" i="65" s="1"/>
  <c r="L26" i="77"/>
  <c r="D30" i="77"/>
  <c r="H158" i="15"/>
  <c r="J155" i="15"/>
  <c r="P31" i="20"/>
  <c r="X27" i="20"/>
  <c r="X27" i="11"/>
  <c r="P31" i="11"/>
  <c r="D36" i="34"/>
  <c r="T31" i="35"/>
  <c r="X31" i="35" s="1"/>
  <c r="Z27" i="35"/>
  <c r="H71" i="57"/>
  <c r="L67" i="57"/>
  <c r="N67" i="57" s="1"/>
  <c r="T114" i="67"/>
  <c r="V110" i="67"/>
  <c r="H29" i="72"/>
  <c r="J25" i="72"/>
  <c r="P94" i="82"/>
  <c r="X23" i="82"/>
  <c r="Z23" i="82" s="1"/>
  <c r="H31" i="46"/>
  <c r="N27" i="46"/>
  <c r="D75" i="68"/>
  <c r="L23" i="68"/>
  <c r="N23" i="68" s="1"/>
  <c r="P87" i="83"/>
  <c r="X20" i="83"/>
  <c r="Z20" i="83" s="1"/>
  <c r="Z27" i="8"/>
  <c r="T31" i="8"/>
  <c r="X27" i="8"/>
  <c r="H31" i="25"/>
  <c r="N27" i="25"/>
  <c r="D31" i="32"/>
  <c r="L27" i="32"/>
  <c r="P79" i="69"/>
  <c r="X31" i="69"/>
  <c r="Z31" i="69" s="1"/>
  <c r="H32" i="85"/>
  <c r="N28" i="85"/>
  <c r="P89" i="27"/>
  <c r="X31" i="27"/>
  <c r="Z31" i="27" s="1"/>
  <c r="N27" i="44"/>
  <c r="H31" i="44"/>
  <c r="D80" i="58"/>
  <c r="L76" i="58"/>
  <c r="N76" i="58" s="1"/>
  <c r="P32" i="80"/>
  <c r="X28" i="80"/>
  <c r="Z28" i="80" s="1"/>
  <c r="H94" i="83"/>
  <c r="J91" i="83"/>
  <c r="T79" i="91"/>
  <c r="X79" i="91" s="1"/>
  <c r="Z75" i="91"/>
  <c r="V75" i="91"/>
  <c r="P103" i="45"/>
  <c r="X99" i="45"/>
  <c r="R99" i="45"/>
  <c r="D26" i="6"/>
  <c r="L22" i="6"/>
  <c r="D36" i="17"/>
  <c r="N27" i="20"/>
  <c r="H31" i="20"/>
  <c r="N27" i="34"/>
  <c r="H31" i="34"/>
  <c r="L31" i="34" s="1"/>
  <c r="F17" i="48"/>
  <c r="R31" i="51"/>
  <c r="R40" i="67"/>
  <c r="P30" i="77"/>
  <c r="X26" i="77"/>
  <c r="D31" i="52"/>
  <c r="L27" i="52"/>
  <c r="P63" i="87"/>
  <c r="X59" i="87"/>
  <c r="Z59" i="87" s="1"/>
  <c r="N27" i="8"/>
  <c r="H31" i="8"/>
  <c r="P31" i="32"/>
  <c r="X27" i="32"/>
  <c r="Z27" i="29"/>
  <c r="T31" i="29"/>
  <c r="P82" i="48"/>
  <c r="X79" i="48"/>
  <c r="R79" i="48"/>
  <c r="D32" i="80"/>
  <c r="L28" i="80"/>
  <c r="N28" i="80" s="1"/>
  <c r="T179" i="3"/>
  <c r="Z175" i="3"/>
  <c r="V175" i="3"/>
  <c r="D36" i="26"/>
  <c r="P31" i="41"/>
  <c r="X27" i="41"/>
  <c r="H35" i="55"/>
  <c r="H93" i="73"/>
  <c r="J90" i="73"/>
  <c r="R22" i="75"/>
  <c r="Z27" i="5"/>
  <c r="T31" i="5"/>
  <c r="X31" i="5" s="1"/>
  <c r="D31" i="31"/>
  <c r="L27" i="31"/>
  <c r="T70" i="59"/>
  <c r="Z66" i="59"/>
  <c r="L18" i="86"/>
  <c r="D36" i="86"/>
  <c r="T40" i="86"/>
  <c r="X36" i="86"/>
  <c r="Z36" i="86" s="1"/>
  <c r="L22" i="75"/>
  <c r="N22" i="75" s="1"/>
  <c r="D30" i="75"/>
  <c r="D86" i="73"/>
  <c r="L21" i="73"/>
  <c r="N21" i="73" s="1"/>
  <c r="H79" i="78"/>
  <c r="N75" i="78"/>
  <c r="T26" i="54"/>
  <c r="Z22" i="54"/>
  <c r="H96" i="21"/>
  <c r="J92" i="21"/>
  <c r="T90" i="73"/>
  <c r="V86" i="73"/>
  <c r="D31" i="11"/>
  <c r="L27" i="11"/>
  <c r="D31" i="41"/>
  <c r="L27" i="41"/>
  <c r="P79" i="68"/>
  <c r="X75" i="68"/>
  <c r="Z75" i="68" s="1"/>
  <c r="R75" i="68"/>
  <c r="P35" i="85"/>
  <c r="X32" i="85"/>
  <c r="X27" i="23"/>
  <c r="P31" i="23"/>
  <c r="P36" i="40"/>
  <c r="P115" i="39"/>
  <c r="X111" i="39"/>
  <c r="R111" i="39"/>
  <c r="T86" i="51"/>
  <c r="V83" i="51"/>
  <c r="D79" i="69"/>
  <c r="L31" i="69"/>
  <c r="N31" i="69" s="1"/>
  <c r="P90" i="74"/>
  <c r="X24" i="74"/>
  <c r="Z24" i="74" s="1"/>
  <c r="H36" i="93"/>
  <c r="N36" i="93" s="1"/>
  <c r="N31" i="93"/>
  <c r="T36" i="14"/>
  <c r="Z36" i="14" s="1"/>
  <c r="Z31" i="14"/>
  <c r="D61" i="61"/>
  <c r="L57" i="61"/>
  <c r="N57" i="61" s="1"/>
  <c r="T32" i="85"/>
  <c r="Z27" i="22"/>
  <c r="T31" i="22"/>
  <c r="T94" i="74"/>
  <c r="V90" i="74"/>
  <c r="D31" i="20"/>
  <c r="L27" i="20"/>
  <c r="P31" i="29"/>
  <c r="X27" i="29"/>
  <c r="D31" i="46"/>
  <c r="L27" i="46"/>
  <c r="H88" i="63"/>
  <c r="J84" i="63"/>
  <c r="P31" i="94"/>
  <c r="X27" i="94"/>
  <c r="L27" i="53"/>
  <c r="D31" i="53"/>
  <c r="D36" i="13"/>
  <c r="D158" i="12"/>
  <c r="L54" i="12"/>
  <c r="N54" i="12" s="1"/>
  <c r="H36" i="28"/>
  <c r="N36" i="28" s="1"/>
  <c r="N31" i="28"/>
  <c r="T115" i="39"/>
  <c r="Z111" i="39"/>
  <c r="V111" i="39"/>
  <c r="H64" i="61"/>
  <c r="D31" i="93"/>
  <c r="L27" i="93"/>
  <c r="D72" i="71"/>
  <c r="L20" i="71"/>
  <c r="N20" i="71" s="1"/>
  <c r="H76" i="71"/>
  <c r="J72" i="71"/>
  <c r="X54" i="12"/>
  <c r="Z54" i="12" s="1"/>
  <c r="P158" i="12"/>
  <c r="P31" i="19"/>
  <c r="X27" i="19"/>
  <c r="T103" i="45"/>
  <c r="Z99" i="45"/>
  <c r="V99" i="45"/>
  <c r="H98" i="82"/>
  <c r="J94" i="82"/>
  <c r="N27" i="7"/>
  <c r="H31" i="7"/>
  <c r="T155" i="15"/>
  <c r="V151" i="15"/>
  <c r="D126" i="30"/>
  <c r="L122" i="30"/>
  <c r="N122" i="30" s="1"/>
  <c r="F122" i="30"/>
  <c r="H31" i="35"/>
  <c r="N27" i="35"/>
  <c r="P31" i="50"/>
  <c r="X27" i="50"/>
  <c r="N26" i="54"/>
  <c r="H31" i="54"/>
  <c r="L31" i="54" s="1"/>
  <c r="D35" i="81"/>
  <c r="L32" i="81"/>
  <c r="X28" i="85"/>
  <c r="Z28" i="85" s="1"/>
  <c r="T96" i="90"/>
  <c r="Z92" i="90"/>
  <c r="V92" i="90"/>
  <c r="Z27" i="17"/>
  <c r="T31" i="17"/>
  <c r="Z31" i="16" l="1"/>
  <c r="X36" i="92"/>
  <c r="L36" i="94"/>
  <c r="H36" i="41"/>
  <c r="N36" i="41" s="1"/>
  <c r="N31" i="41"/>
  <c r="D36" i="38"/>
  <c r="L36" i="38" s="1"/>
  <c r="L31" i="38"/>
  <c r="T93" i="73"/>
  <c r="V90" i="73"/>
  <c r="P33" i="77"/>
  <c r="X33" i="77" s="1"/>
  <c r="X30" i="77"/>
  <c r="D36" i="41"/>
  <c r="L36" i="41" s="1"/>
  <c r="L31" i="41"/>
  <c r="N94" i="83"/>
  <c r="J94" i="83"/>
  <c r="H43" i="86"/>
  <c r="H35" i="80"/>
  <c r="D36" i="5"/>
  <c r="L31" i="5"/>
  <c r="X88" i="24"/>
  <c r="Z88" i="24" s="1"/>
  <c r="P91" i="24"/>
  <c r="R88" i="24"/>
  <c r="X110" i="67"/>
  <c r="Z110" i="67" s="1"/>
  <c r="P114" i="67"/>
  <c r="R110" i="67"/>
  <c r="H36" i="32"/>
  <c r="N36" i="32" s="1"/>
  <c r="N31" i="32"/>
  <c r="J99" i="90"/>
  <c r="Z31" i="11"/>
  <c r="T36" i="11"/>
  <c r="Z36" i="11" s="1"/>
  <c r="T64" i="61"/>
  <c r="Z61" i="61"/>
  <c r="N26" i="6"/>
  <c r="H31" i="6"/>
  <c r="D179" i="3"/>
  <c r="L175" i="3"/>
  <c r="N175" i="3" s="1"/>
  <c r="F175" i="3"/>
  <c r="T91" i="63"/>
  <c r="V88" i="63"/>
  <c r="X88" i="63"/>
  <c r="Z88" i="63" s="1"/>
  <c r="D36" i="16"/>
  <c r="L31" i="16"/>
  <c r="H86" i="51"/>
  <c r="J83" i="51"/>
  <c r="H97" i="74"/>
  <c r="N94" i="74"/>
  <c r="J94" i="74"/>
  <c r="T44" i="64"/>
  <c r="D79" i="48"/>
  <c r="L75" i="48"/>
  <c r="N75" i="48" s="1"/>
  <c r="F75" i="48"/>
  <c r="T99" i="90"/>
  <c r="Z96" i="90"/>
  <c r="V96" i="90"/>
  <c r="T106" i="45"/>
  <c r="V103" i="45"/>
  <c r="D36" i="53"/>
  <c r="L31" i="53"/>
  <c r="D36" i="46"/>
  <c r="L31" i="46"/>
  <c r="T36" i="22"/>
  <c r="Z36" i="22" s="1"/>
  <c r="Z31" i="22"/>
  <c r="L30" i="75"/>
  <c r="N30" i="75" s="1"/>
  <c r="D34" i="75"/>
  <c r="F30" i="75"/>
  <c r="R82" i="48"/>
  <c r="P66" i="87"/>
  <c r="X63" i="87"/>
  <c r="H36" i="34"/>
  <c r="N36" i="34" s="1"/>
  <c r="N31" i="34"/>
  <c r="P93" i="27"/>
  <c r="X89" i="27"/>
  <c r="Z89" i="27" s="1"/>
  <c r="R89" i="27"/>
  <c r="P98" i="82"/>
  <c r="X94" i="82"/>
  <c r="Z94" i="82" s="1"/>
  <c r="R94" i="82"/>
  <c r="N71" i="57"/>
  <c r="H74" i="57"/>
  <c r="L71" i="57"/>
  <c r="L89" i="65"/>
  <c r="N89" i="65" s="1"/>
  <c r="D93" i="65"/>
  <c r="F89" i="65"/>
  <c r="T79" i="71"/>
  <c r="V76" i="71"/>
  <c r="D36" i="92"/>
  <c r="L31" i="92"/>
  <c r="P79" i="33"/>
  <c r="X75" i="33"/>
  <c r="Z75" i="33" s="1"/>
  <c r="R75" i="33"/>
  <c r="H96" i="88"/>
  <c r="J93" i="88"/>
  <c r="P99" i="90"/>
  <c r="X96" i="90"/>
  <c r="R96" i="90"/>
  <c r="P36" i="14"/>
  <c r="X36" i="14" s="1"/>
  <c r="X31" i="14"/>
  <c r="D36" i="43"/>
  <c r="L31" i="43"/>
  <c r="T96" i="88"/>
  <c r="V93" i="88"/>
  <c r="H166" i="18"/>
  <c r="J163" i="18"/>
  <c r="D96" i="27"/>
  <c r="L93" i="27"/>
  <c r="F93" i="27"/>
  <c r="H36" i="40"/>
  <c r="N36" i="40" s="1"/>
  <c r="N31" i="40"/>
  <c r="H36" i="50"/>
  <c r="N36" i="50" s="1"/>
  <c r="N31" i="50"/>
  <c r="H99" i="89"/>
  <c r="J96" i="89"/>
  <c r="H124" i="36"/>
  <c r="N121" i="36"/>
  <c r="J121" i="36"/>
  <c r="P36" i="26"/>
  <c r="X36" i="26" s="1"/>
  <c r="X31" i="26"/>
  <c r="T36" i="50"/>
  <c r="Z36" i="50" s="1"/>
  <c r="Z31" i="50"/>
  <c r="P126" i="30"/>
  <c r="X122" i="30"/>
  <c r="Z122" i="30" s="1"/>
  <c r="R122" i="30"/>
  <c r="P36" i="38"/>
  <c r="X31" i="38"/>
  <c r="H36" i="47"/>
  <c r="N36" i="47" s="1"/>
  <c r="N31" i="47"/>
  <c r="X65" i="60"/>
  <c r="Z65" i="60" s="1"/>
  <c r="Z32" i="81"/>
  <c r="T35" i="81"/>
  <c r="Z35" i="81" s="1"/>
  <c r="D166" i="18"/>
  <c r="L163" i="18"/>
  <c r="N163" i="18" s="1"/>
  <c r="F163" i="18"/>
  <c r="R82" i="91"/>
  <c r="L108" i="42"/>
  <c r="N108" i="42" s="1"/>
  <c r="D112" i="42"/>
  <c r="F108" i="42"/>
  <c r="L91" i="83"/>
  <c r="N91" i="83" s="1"/>
  <c r="D94" i="83"/>
  <c r="L94" i="83" s="1"/>
  <c r="P94" i="74"/>
  <c r="X90" i="74"/>
  <c r="Z90" i="74" s="1"/>
  <c r="R90" i="74"/>
  <c r="D36" i="31"/>
  <c r="L31" i="31"/>
  <c r="D31" i="6"/>
  <c r="L31" i="6" s="1"/>
  <c r="L26" i="6"/>
  <c r="D88" i="63"/>
  <c r="L84" i="63"/>
  <c r="N84" i="63" s="1"/>
  <c r="F84" i="63"/>
  <c r="D76" i="71"/>
  <c r="L72" i="71"/>
  <c r="N72" i="71" s="1"/>
  <c r="V86" i="51"/>
  <c r="D36" i="11"/>
  <c r="L31" i="11"/>
  <c r="T31" i="54"/>
  <c r="Z26" i="54"/>
  <c r="J93" i="73"/>
  <c r="T36" i="29"/>
  <c r="Z36" i="29" s="1"/>
  <c r="Z31" i="29"/>
  <c r="P36" i="20"/>
  <c r="X31" i="20"/>
  <c r="D118" i="39"/>
  <c r="L115" i="39"/>
  <c r="N115" i="39" s="1"/>
  <c r="F115" i="39"/>
  <c r="H35" i="81"/>
  <c r="N35" i="81" s="1"/>
  <c r="N32" i="81"/>
  <c r="X31" i="22"/>
  <c r="D73" i="59"/>
  <c r="L73" i="59" s="1"/>
  <c r="L70" i="59"/>
  <c r="N70" i="59" s="1"/>
  <c r="P36" i="13"/>
  <c r="X31" i="13"/>
  <c r="P36" i="93"/>
  <c r="X31" i="93"/>
  <c r="X31" i="44"/>
  <c r="P36" i="44"/>
  <c r="V124" i="36"/>
  <c r="T38" i="55"/>
  <c r="Z35" i="55"/>
  <c r="X35" i="55"/>
  <c r="P36" i="17"/>
  <c r="X31" i="17"/>
  <c r="H165" i="12"/>
  <c r="J162" i="12"/>
  <c r="N31" i="53"/>
  <c r="H36" i="53"/>
  <c r="N36" i="53" s="1"/>
  <c r="T108" i="62"/>
  <c r="X108" i="62" s="1"/>
  <c r="Z105" i="62"/>
  <c r="H36" i="16"/>
  <c r="N36" i="16" s="1"/>
  <c r="N31" i="16"/>
  <c r="Z31" i="93"/>
  <c r="T36" i="93"/>
  <c r="Z36" i="93" s="1"/>
  <c r="T35" i="80"/>
  <c r="Z32" i="80"/>
  <c r="N31" i="11"/>
  <c r="H36" i="11"/>
  <c r="N36" i="11" s="1"/>
  <c r="L31" i="35"/>
  <c r="D36" i="35"/>
  <c r="H36" i="5"/>
  <c r="N36" i="5" s="1"/>
  <c r="N31" i="5"/>
  <c r="T94" i="83"/>
  <c r="V91" i="83"/>
  <c r="T82" i="33"/>
  <c r="V79" i="33"/>
  <c r="D99" i="89"/>
  <c r="L96" i="89"/>
  <c r="N96" i="89" s="1"/>
  <c r="F96" i="89"/>
  <c r="H65" i="60"/>
  <c r="N62" i="60"/>
  <c r="H37" i="79"/>
  <c r="N31" i="54"/>
  <c r="H38" i="55"/>
  <c r="T158" i="15"/>
  <c r="V155" i="15"/>
  <c r="T97" i="74"/>
  <c r="V94" i="74"/>
  <c r="P36" i="23"/>
  <c r="X36" i="23" s="1"/>
  <c r="X31" i="23"/>
  <c r="D90" i="73"/>
  <c r="L86" i="73"/>
  <c r="N86" i="73" s="1"/>
  <c r="F86" i="73"/>
  <c r="T91" i="24"/>
  <c r="V88" i="24"/>
  <c r="J118" i="39"/>
  <c r="H36" i="29"/>
  <c r="N36" i="29" s="1"/>
  <c r="N31" i="29"/>
  <c r="P121" i="36"/>
  <c r="X117" i="36"/>
  <c r="Z117" i="36" s="1"/>
  <c r="R117" i="36"/>
  <c r="T118" i="39"/>
  <c r="V115" i="39"/>
  <c r="H36" i="35"/>
  <c r="N36" i="35" s="1"/>
  <c r="N31" i="35"/>
  <c r="H36" i="20"/>
  <c r="N36" i="20" s="1"/>
  <c r="N31" i="20"/>
  <c r="P106" i="45"/>
  <c r="X103" i="45"/>
  <c r="Z103" i="45" s="1"/>
  <c r="R103" i="45"/>
  <c r="H35" i="85"/>
  <c r="N32" i="85"/>
  <c r="D36" i="32"/>
  <c r="L31" i="32"/>
  <c r="P91" i="83"/>
  <c r="X87" i="83"/>
  <c r="Z87" i="83" s="1"/>
  <c r="H82" i="56"/>
  <c r="L79" i="56"/>
  <c r="N79" i="56" s="1"/>
  <c r="L55" i="84"/>
  <c r="N55" i="84" s="1"/>
  <c r="D58" i="84"/>
  <c r="L58" i="84" s="1"/>
  <c r="N58" i="84" s="1"/>
  <c r="P31" i="54"/>
  <c r="X31" i="54" s="1"/>
  <c r="X26" i="54"/>
  <c r="D96" i="21"/>
  <c r="L92" i="21"/>
  <c r="N92" i="21" s="1"/>
  <c r="F92" i="21"/>
  <c r="P64" i="61"/>
  <c r="X64" i="61" s="1"/>
  <c r="X61" i="61"/>
  <c r="T37" i="75"/>
  <c r="V34" i="75"/>
  <c r="T99" i="21"/>
  <c r="V96" i="21"/>
  <c r="X82" i="78"/>
  <c r="H129" i="30"/>
  <c r="J126" i="30"/>
  <c r="D66" i="87"/>
  <c r="L63" i="87"/>
  <c r="L97" i="74"/>
  <c r="F97" i="74"/>
  <c r="J91" i="24"/>
  <c r="P163" i="18"/>
  <c r="X159" i="18"/>
  <c r="Z159" i="18" s="1"/>
  <c r="R159" i="18"/>
  <c r="H33" i="77"/>
  <c r="N33" i="77" s="1"/>
  <c r="N30" i="77"/>
  <c r="X92" i="89"/>
  <c r="Z92" i="89" s="1"/>
  <c r="P96" i="89"/>
  <c r="R92" i="89"/>
  <c r="D82" i="78"/>
  <c r="L79" i="78"/>
  <c r="P36" i="31"/>
  <c r="X31" i="31"/>
  <c r="N31" i="4"/>
  <c r="H36" i="4"/>
  <c r="N36" i="4" s="1"/>
  <c r="H36" i="22"/>
  <c r="N36" i="22" s="1"/>
  <c r="N31" i="22"/>
  <c r="D79" i="91"/>
  <c r="L75" i="91"/>
  <c r="N75" i="91" s="1"/>
  <c r="F75" i="91"/>
  <c r="L31" i="29"/>
  <c r="D91" i="24"/>
  <c r="L88" i="24"/>
  <c r="N88" i="24" s="1"/>
  <c r="F88" i="24"/>
  <c r="T104" i="9"/>
  <c r="X36" i="34"/>
  <c r="T82" i="48"/>
  <c r="Z79" i="48"/>
  <c r="V79" i="48"/>
  <c r="X76" i="71"/>
  <c r="Z76" i="71" s="1"/>
  <c r="T36" i="47"/>
  <c r="Z36" i="47" s="1"/>
  <c r="Z31" i="47"/>
  <c r="T36" i="20"/>
  <c r="Z36" i="20" s="1"/>
  <c r="Z31" i="20"/>
  <c r="P36" i="50"/>
  <c r="X31" i="50"/>
  <c r="H79" i="71"/>
  <c r="J76" i="71"/>
  <c r="H99" i="21"/>
  <c r="J96" i="21"/>
  <c r="D36" i="28"/>
  <c r="L36" i="28" s="1"/>
  <c r="L31" i="28"/>
  <c r="N104" i="9"/>
  <c r="H36" i="52"/>
  <c r="N36" i="52" s="1"/>
  <c r="N31" i="52"/>
  <c r="D83" i="51"/>
  <c r="L79" i="51"/>
  <c r="N79" i="51" s="1"/>
  <c r="F79" i="51"/>
  <c r="H36" i="7"/>
  <c r="N36" i="7" s="1"/>
  <c r="N31" i="7"/>
  <c r="P36" i="19"/>
  <c r="X36" i="19" s="1"/>
  <c r="X31" i="19"/>
  <c r="P36" i="29"/>
  <c r="X31" i="29"/>
  <c r="T73" i="59"/>
  <c r="D36" i="52"/>
  <c r="L31" i="52"/>
  <c r="P35" i="80"/>
  <c r="X32" i="80"/>
  <c r="L35" i="81"/>
  <c r="P162" i="12"/>
  <c r="X158" i="12"/>
  <c r="Z158" i="12" s="1"/>
  <c r="R158" i="12"/>
  <c r="D36" i="93"/>
  <c r="L36" i="93" s="1"/>
  <c r="L31" i="93"/>
  <c r="P36" i="94"/>
  <c r="X36" i="94" s="1"/>
  <c r="X31" i="94"/>
  <c r="T35" i="85"/>
  <c r="X35" i="85" s="1"/>
  <c r="Z32" i="85"/>
  <c r="T184" i="3"/>
  <c r="V179" i="3"/>
  <c r="H32" i="72"/>
  <c r="J29" i="72"/>
  <c r="T36" i="35"/>
  <c r="Z36" i="35" s="1"/>
  <c r="Z31" i="35"/>
  <c r="J158" i="15"/>
  <c r="P93" i="88"/>
  <c r="X89" i="88"/>
  <c r="Z89" i="88" s="1"/>
  <c r="R89" i="88"/>
  <c r="H36" i="43"/>
  <c r="N36" i="43" s="1"/>
  <c r="N31" i="43"/>
  <c r="L31" i="7"/>
  <c r="D36" i="7"/>
  <c r="T86" i="69"/>
  <c r="V83" i="69"/>
  <c r="T129" i="30"/>
  <c r="V126" i="30"/>
  <c r="T36" i="44"/>
  <c r="Z36" i="44" s="1"/>
  <c r="Z31" i="44"/>
  <c r="P83" i="58"/>
  <c r="X83" i="58" s="1"/>
  <c r="X80" i="58"/>
  <c r="Z80" i="58" s="1"/>
  <c r="H82" i="91"/>
  <c r="J79" i="91"/>
  <c r="D124" i="36"/>
  <c r="L121" i="36"/>
  <c r="F121" i="36"/>
  <c r="D95" i="76"/>
  <c r="L91" i="76"/>
  <c r="N91" i="76" s="1"/>
  <c r="F91" i="76"/>
  <c r="L94" i="74"/>
  <c r="T37" i="79"/>
  <c r="Z34" i="79"/>
  <c r="D36" i="40"/>
  <c r="L31" i="40"/>
  <c r="P36" i="37"/>
  <c r="X31" i="37"/>
  <c r="P58" i="84"/>
  <c r="X58" i="84" s="1"/>
  <c r="Z58" i="84" s="1"/>
  <c r="X55" i="84"/>
  <c r="Z55" i="84" s="1"/>
  <c r="D36" i="8"/>
  <c r="L31" i="8"/>
  <c r="P29" i="72"/>
  <c r="X25" i="72"/>
  <c r="Z25" i="72" s="1"/>
  <c r="R25" i="72"/>
  <c r="D29" i="72"/>
  <c r="L25" i="72"/>
  <c r="N25" i="72" s="1"/>
  <c r="F25" i="72"/>
  <c r="T36" i="41"/>
  <c r="Z36" i="41" s="1"/>
  <c r="Z31" i="41"/>
  <c r="H36" i="10"/>
  <c r="N36" i="10" s="1"/>
  <c r="N31" i="10"/>
  <c r="D36" i="23"/>
  <c r="L36" i="23" s="1"/>
  <c r="L31" i="23"/>
  <c r="Z74" i="57"/>
  <c r="P73" i="59"/>
  <c r="X70" i="59"/>
  <c r="Z70" i="59" s="1"/>
  <c r="P184" i="3"/>
  <c r="X179" i="3"/>
  <c r="Z179" i="3" s="1"/>
  <c r="R179" i="3"/>
  <c r="X79" i="71"/>
  <c r="P36" i="32"/>
  <c r="X36" i="32" s="1"/>
  <c r="X31" i="32"/>
  <c r="D83" i="58"/>
  <c r="L83" i="58" s="1"/>
  <c r="N83" i="58" s="1"/>
  <c r="L80" i="58"/>
  <c r="N80" i="58" s="1"/>
  <c r="X79" i="69"/>
  <c r="Z79" i="69" s="1"/>
  <c r="P83" i="69"/>
  <c r="R79" i="69"/>
  <c r="N31" i="25"/>
  <c r="H36" i="25"/>
  <c r="N36" i="25" s="1"/>
  <c r="L75" i="68"/>
  <c r="N75" i="68" s="1"/>
  <c r="D79" i="68"/>
  <c r="F75" i="68"/>
  <c r="T66" i="87"/>
  <c r="Z63" i="87"/>
  <c r="Z31" i="52"/>
  <c r="T36" i="52"/>
  <c r="Z36" i="52" s="1"/>
  <c r="P36" i="28"/>
  <c r="X36" i="28" s="1"/>
  <c r="X31" i="28"/>
  <c r="H96" i="65"/>
  <c r="J93" i="65"/>
  <c r="H36" i="26"/>
  <c r="N36" i="26" s="1"/>
  <c r="N31" i="26"/>
  <c r="L32" i="85"/>
  <c r="D35" i="85"/>
  <c r="D36" i="44"/>
  <c r="L31" i="44"/>
  <c r="P99" i="21"/>
  <c r="X96" i="21"/>
  <c r="Z96" i="21" s="1"/>
  <c r="R96" i="21"/>
  <c r="P93" i="73"/>
  <c r="X90" i="73"/>
  <c r="Z90" i="73" s="1"/>
  <c r="R90" i="73"/>
  <c r="D104" i="9"/>
  <c r="L104" i="9" s="1"/>
  <c r="L101" i="9"/>
  <c r="N101" i="9" s="1"/>
  <c r="J117" i="67"/>
  <c r="V32" i="72"/>
  <c r="T115" i="42"/>
  <c r="Z112" i="42"/>
  <c r="V112" i="42"/>
  <c r="T36" i="13"/>
  <c r="Z36" i="13" s="1"/>
  <c r="Z31" i="13"/>
  <c r="H44" i="64"/>
  <c r="N41" i="64"/>
  <c r="P35" i="81"/>
  <c r="X35" i="81" s="1"/>
  <c r="X32" i="81"/>
  <c r="T36" i="40"/>
  <c r="Z36" i="40" s="1"/>
  <c r="Z31" i="40"/>
  <c r="D36" i="22"/>
  <c r="L31" i="22"/>
  <c r="H98" i="76"/>
  <c r="J95" i="76"/>
  <c r="P83" i="51"/>
  <c r="X79" i="51"/>
  <c r="Z79" i="51" s="1"/>
  <c r="R79" i="51"/>
  <c r="D96" i="88"/>
  <c r="L93" i="88"/>
  <c r="N93" i="88" s="1"/>
  <c r="F93" i="88"/>
  <c r="L79" i="33"/>
  <c r="N79" i="33" s="1"/>
  <c r="D82" i="33"/>
  <c r="F79" i="33"/>
  <c r="L31" i="25"/>
  <c r="P36" i="10"/>
  <c r="X36" i="10" s="1"/>
  <c r="X31" i="10"/>
  <c r="N73" i="59"/>
  <c r="T36" i="17"/>
  <c r="Z36" i="17" s="1"/>
  <c r="Z31" i="17"/>
  <c r="D36" i="20"/>
  <c r="L31" i="20"/>
  <c r="T43" i="86"/>
  <c r="X40" i="86"/>
  <c r="Z40" i="86" s="1"/>
  <c r="D129" i="30"/>
  <c r="L126" i="30"/>
  <c r="N126" i="30" s="1"/>
  <c r="F126" i="30"/>
  <c r="H82" i="78"/>
  <c r="N79" i="78"/>
  <c r="Z31" i="5"/>
  <c r="T36" i="5"/>
  <c r="Z36" i="5" s="1"/>
  <c r="D35" i="80"/>
  <c r="L35" i="80" s="1"/>
  <c r="L32" i="80"/>
  <c r="N32" i="80" s="1"/>
  <c r="T82" i="91"/>
  <c r="X82" i="91" s="1"/>
  <c r="Z79" i="91"/>
  <c r="V79" i="91"/>
  <c r="D44" i="64"/>
  <c r="L44" i="64" s="1"/>
  <c r="L41" i="64"/>
  <c r="H37" i="75"/>
  <c r="J34" i="75"/>
  <c r="P155" i="15"/>
  <c r="X151" i="15"/>
  <c r="Z151" i="15" s="1"/>
  <c r="R151" i="15"/>
  <c r="P115" i="42"/>
  <c r="X112" i="42"/>
  <c r="R112" i="42"/>
  <c r="P36" i="25"/>
  <c r="X36" i="25" s="1"/>
  <c r="X31" i="25"/>
  <c r="D38" i="55"/>
  <c r="L38" i="55" s="1"/>
  <c r="L35" i="55"/>
  <c r="N35" i="55" s="1"/>
  <c r="H96" i="27"/>
  <c r="N93" i="27"/>
  <c r="J93" i="27"/>
  <c r="Z79" i="78"/>
  <c r="T82" i="78"/>
  <c r="P36" i="16"/>
  <c r="X36" i="16" s="1"/>
  <c r="X31" i="16"/>
  <c r="D36" i="37"/>
  <c r="L36" i="37" s="1"/>
  <c r="L31" i="37"/>
  <c r="X31" i="52"/>
  <c r="L155" i="15"/>
  <c r="N155" i="15" s="1"/>
  <c r="D158" i="15"/>
  <c r="F155" i="15"/>
  <c r="H86" i="69"/>
  <c r="J83" i="69"/>
  <c r="D117" i="67"/>
  <c r="L114" i="67"/>
  <c r="N114" i="67" s="1"/>
  <c r="F114" i="67"/>
  <c r="P44" i="64"/>
  <c r="X44" i="64" s="1"/>
  <c r="X41" i="64"/>
  <c r="Z41" i="64" s="1"/>
  <c r="X37" i="79"/>
  <c r="L99" i="90"/>
  <c r="N99" i="90" s="1"/>
  <c r="F99" i="90"/>
  <c r="P36" i="47"/>
  <c r="X31" i="47"/>
  <c r="T36" i="31"/>
  <c r="Z36" i="31" s="1"/>
  <c r="Z31" i="31"/>
  <c r="H36" i="14"/>
  <c r="N36" i="14" s="1"/>
  <c r="N31" i="14"/>
  <c r="T36" i="38"/>
  <c r="Z36" i="38" s="1"/>
  <c r="Z31" i="38"/>
  <c r="T165" i="12"/>
  <c r="V162" i="12"/>
  <c r="D36" i="50"/>
  <c r="L31" i="50"/>
  <c r="P118" i="39"/>
  <c r="X115" i="39"/>
  <c r="Z115" i="39" s="1"/>
  <c r="R115" i="39"/>
  <c r="H101" i="82"/>
  <c r="J98" i="82"/>
  <c r="D162" i="12"/>
  <c r="L158" i="12"/>
  <c r="N158" i="12" s="1"/>
  <c r="F158" i="12"/>
  <c r="H91" i="63"/>
  <c r="J88" i="63"/>
  <c r="P82" i="68"/>
  <c r="X79" i="68"/>
  <c r="Z79" i="68" s="1"/>
  <c r="R79" i="68"/>
  <c r="D40" i="86"/>
  <c r="L36" i="86"/>
  <c r="N36" i="86" s="1"/>
  <c r="F36" i="86"/>
  <c r="N31" i="8"/>
  <c r="H36" i="8"/>
  <c r="N36" i="8" s="1"/>
  <c r="H36" i="44"/>
  <c r="N36" i="44" s="1"/>
  <c r="N31" i="44"/>
  <c r="L30" i="77"/>
  <c r="D33" i="77"/>
  <c r="L33" i="77" s="1"/>
  <c r="P95" i="76"/>
  <c r="X91" i="76"/>
  <c r="Z91" i="76" s="1"/>
  <c r="R91" i="76"/>
  <c r="H36" i="17"/>
  <c r="N36" i="17" s="1"/>
  <c r="N31" i="17"/>
  <c r="P34" i="75"/>
  <c r="X30" i="75"/>
  <c r="Z30" i="75" s="1"/>
  <c r="R30" i="75"/>
  <c r="T36" i="37"/>
  <c r="Z36" i="37" s="1"/>
  <c r="Z31" i="37"/>
  <c r="D64" i="61"/>
  <c r="L64" i="61" s="1"/>
  <c r="N64" i="61" s="1"/>
  <c r="L61" i="61"/>
  <c r="N61" i="61" s="1"/>
  <c r="D83" i="69"/>
  <c r="L79" i="69"/>
  <c r="N79" i="69" s="1"/>
  <c r="F79" i="69"/>
  <c r="P36" i="41"/>
  <c r="X31" i="41"/>
  <c r="T36" i="8"/>
  <c r="Z31" i="8"/>
  <c r="X31" i="8"/>
  <c r="H36" i="46"/>
  <c r="N36" i="46" s="1"/>
  <c r="N31" i="46"/>
  <c r="T117" i="67"/>
  <c r="V114" i="67"/>
  <c r="P36" i="11"/>
  <c r="X31" i="11"/>
  <c r="T166" i="18"/>
  <c r="V163" i="18"/>
  <c r="N31" i="92"/>
  <c r="H36" i="92"/>
  <c r="N36" i="92" s="1"/>
  <c r="N108" i="62"/>
  <c r="N31" i="13"/>
  <c r="H36" i="13"/>
  <c r="N36" i="13" s="1"/>
  <c r="D36" i="47"/>
  <c r="L31" i="47"/>
  <c r="D103" i="45"/>
  <c r="L99" i="45"/>
  <c r="N99" i="45" s="1"/>
  <c r="F99" i="45"/>
  <c r="H82" i="68"/>
  <c r="J79" i="68"/>
  <c r="P104" i="9"/>
  <c r="X104" i="9" s="1"/>
  <c r="X101" i="9"/>
  <c r="Z101" i="9" s="1"/>
  <c r="X82" i="56"/>
  <c r="Z82" i="56" s="1"/>
  <c r="Z31" i="6"/>
  <c r="H66" i="87"/>
  <c r="N63" i="87"/>
  <c r="H184" i="3"/>
  <c r="J179" i="3"/>
  <c r="L65" i="60"/>
  <c r="Z83" i="58"/>
  <c r="T36" i="7"/>
  <c r="Z36" i="7" s="1"/>
  <c r="Z31" i="7"/>
  <c r="D37" i="79"/>
  <c r="L34" i="79"/>
  <c r="N34" i="79" s="1"/>
  <c r="V96" i="65"/>
  <c r="H36" i="31"/>
  <c r="N36" i="31" s="1"/>
  <c r="N31" i="31"/>
  <c r="V101" i="82"/>
  <c r="T82" i="68"/>
  <c r="V79" i="68"/>
  <c r="L94" i="82"/>
  <c r="N94" i="82" s="1"/>
  <c r="D98" i="82"/>
  <c r="F94" i="82"/>
  <c r="P96" i="65"/>
  <c r="X93" i="65"/>
  <c r="Z93" i="65" s="1"/>
  <c r="R93" i="65"/>
  <c r="L31" i="14"/>
  <c r="P36" i="49"/>
  <c r="X36" i="49" s="1"/>
  <c r="X31" i="49"/>
  <c r="P36" i="7"/>
  <c r="X31" i="7"/>
  <c r="T98" i="76"/>
  <c r="V95" i="76"/>
  <c r="D108" i="62"/>
  <c r="L108" i="62" s="1"/>
  <c r="L105" i="62"/>
  <c r="N105" i="62" s="1"/>
  <c r="X36" i="50" l="1"/>
  <c r="X36" i="22"/>
  <c r="L36" i="50"/>
  <c r="X36" i="11"/>
  <c r="X36" i="52"/>
  <c r="X36" i="7"/>
  <c r="X36" i="41"/>
  <c r="X36" i="40"/>
  <c r="L36" i="52"/>
  <c r="L36" i="34"/>
  <c r="L36" i="47"/>
  <c r="L36" i="25"/>
  <c r="L36" i="92"/>
  <c r="X36" i="93"/>
  <c r="X36" i="5"/>
  <c r="L36" i="46"/>
  <c r="X36" i="37"/>
  <c r="V86" i="69"/>
  <c r="D93" i="73"/>
  <c r="L90" i="73"/>
  <c r="N90" i="73" s="1"/>
  <c r="F90" i="73"/>
  <c r="V158" i="15"/>
  <c r="J124" i="36"/>
  <c r="P96" i="27"/>
  <c r="X93" i="27"/>
  <c r="Z93" i="27" s="1"/>
  <c r="R93" i="27"/>
  <c r="L36" i="17"/>
  <c r="X82" i="68"/>
  <c r="R82" i="68"/>
  <c r="Z82" i="78"/>
  <c r="L129" i="30"/>
  <c r="N129" i="30" s="1"/>
  <c r="F129" i="30"/>
  <c r="N44" i="64"/>
  <c r="Z66" i="87"/>
  <c r="P86" i="69"/>
  <c r="X83" i="69"/>
  <c r="Z83" i="69" s="1"/>
  <c r="R83" i="69"/>
  <c r="P32" i="72"/>
  <c r="X29" i="72"/>
  <c r="Z29" i="72" s="1"/>
  <c r="R29" i="72"/>
  <c r="L36" i="7"/>
  <c r="Z82" i="48"/>
  <c r="V82" i="48"/>
  <c r="X36" i="31"/>
  <c r="V99" i="21"/>
  <c r="N82" i="56"/>
  <c r="L82" i="56"/>
  <c r="X38" i="55"/>
  <c r="Z38" i="55" s="1"/>
  <c r="X36" i="13"/>
  <c r="L118" i="39"/>
  <c r="N118" i="39" s="1"/>
  <c r="F118" i="39"/>
  <c r="Z31" i="54"/>
  <c r="P129" i="30"/>
  <c r="X126" i="30"/>
  <c r="Z126" i="30" s="1"/>
  <c r="R126" i="30"/>
  <c r="N97" i="74"/>
  <c r="J97" i="74"/>
  <c r="Z64" i="61"/>
  <c r="V184" i="3"/>
  <c r="V166" i="18"/>
  <c r="J101" i="82"/>
  <c r="V165" i="12"/>
  <c r="L96" i="88"/>
  <c r="N96" i="88" s="1"/>
  <c r="F96" i="88"/>
  <c r="L36" i="22"/>
  <c r="X99" i="21"/>
  <c r="Z99" i="21" s="1"/>
  <c r="R99" i="21"/>
  <c r="J96" i="65"/>
  <c r="X184" i="3"/>
  <c r="Z184" i="3" s="1"/>
  <c r="R184" i="3"/>
  <c r="L36" i="40"/>
  <c r="P165" i="12"/>
  <c r="X162" i="12"/>
  <c r="Z162" i="12" s="1"/>
  <c r="R162" i="12"/>
  <c r="L66" i="87"/>
  <c r="N66" i="87" s="1"/>
  <c r="D99" i="21"/>
  <c r="L96" i="21"/>
  <c r="N96" i="21" s="1"/>
  <c r="F96" i="21"/>
  <c r="V118" i="39"/>
  <c r="N38" i="55"/>
  <c r="L99" i="89"/>
  <c r="F99" i="89"/>
  <c r="D91" i="63"/>
  <c r="L88" i="63"/>
  <c r="N88" i="63" s="1"/>
  <c r="F88" i="63"/>
  <c r="P97" i="74"/>
  <c r="X94" i="74"/>
  <c r="Z94" i="74" s="1"/>
  <c r="R94" i="74"/>
  <c r="N99" i="89"/>
  <c r="J99" i="89"/>
  <c r="L96" i="27"/>
  <c r="N96" i="27" s="1"/>
  <c r="F96" i="27"/>
  <c r="L36" i="43"/>
  <c r="J96" i="88"/>
  <c r="Z79" i="71"/>
  <c r="V79" i="71"/>
  <c r="L36" i="53"/>
  <c r="Z91" i="63"/>
  <c r="V91" i="63"/>
  <c r="X91" i="63"/>
  <c r="L36" i="5"/>
  <c r="L158" i="15"/>
  <c r="N158" i="15" s="1"/>
  <c r="F158" i="15"/>
  <c r="X155" i="15"/>
  <c r="Z155" i="15" s="1"/>
  <c r="P158" i="15"/>
  <c r="R155" i="15"/>
  <c r="D98" i="76"/>
  <c r="L95" i="76"/>
  <c r="N95" i="76" s="1"/>
  <c r="F95" i="76"/>
  <c r="N35" i="85"/>
  <c r="P37" i="75"/>
  <c r="X34" i="75"/>
  <c r="Z34" i="75" s="1"/>
  <c r="R34" i="75"/>
  <c r="J37" i="75"/>
  <c r="L36" i="8"/>
  <c r="L124" i="36"/>
  <c r="N124" i="36" s="1"/>
  <c r="F124" i="36"/>
  <c r="Z35" i="85"/>
  <c r="D86" i="51"/>
  <c r="L83" i="51"/>
  <c r="N83" i="51" s="1"/>
  <c r="F83" i="51"/>
  <c r="Z104" i="9"/>
  <c r="D82" i="91"/>
  <c r="L79" i="91"/>
  <c r="N79" i="91" s="1"/>
  <c r="F79" i="91"/>
  <c r="L82" i="78"/>
  <c r="X36" i="35"/>
  <c r="X106" i="45"/>
  <c r="Z106" i="45" s="1"/>
  <c r="R106" i="45"/>
  <c r="V91" i="24"/>
  <c r="L36" i="35"/>
  <c r="L36" i="4"/>
  <c r="X36" i="20"/>
  <c r="L36" i="11"/>
  <c r="P101" i="82"/>
  <c r="X98" i="82"/>
  <c r="Z98" i="82" s="1"/>
  <c r="R98" i="82"/>
  <c r="D37" i="75"/>
  <c r="L34" i="75"/>
  <c r="N34" i="75" s="1"/>
  <c r="F34" i="75"/>
  <c r="D82" i="48"/>
  <c r="L79" i="48"/>
  <c r="N79" i="48" s="1"/>
  <c r="F79" i="48"/>
  <c r="N35" i="80"/>
  <c r="V117" i="67"/>
  <c r="Z82" i="91"/>
  <c r="V82" i="91"/>
  <c r="V99" i="90"/>
  <c r="J184" i="3"/>
  <c r="D86" i="69"/>
  <c r="L83" i="69"/>
  <c r="N83" i="69" s="1"/>
  <c r="F83" i="69"/>
  <c r="X36" i="47"/>
  <c r="L117" i="67"/>
  <c r="N117" i="67" s="1"/>
  <c r="F117" i="67"/>
  <c r="Z82" i="68"/>
  <c r="V82" i="68"/>
  <c r="L37" i="79"/>
  <c r="Z36" i="8"/>
  <c r="X36" i="8"/>
  <c r="X95" i="76"/>
  <c r="Z95" i="76" s="1"/>
  <c r="P98" i="76"/>
  <c r="R95" i="76"/>
  <c r="J91" i="63"/>
  <c r="X43" i="86"/>
  <c r="Z43" i="86" s="1"/>
  <c r="L36" i="44"/>
  <c r="D82" i="68"/>
  <c r="L79" i="68"/>
  <c r="N79" i="68" s="1"/>
  <c r="F79" i="68"/>
  <c r="X73" i="59"/>
  <c r="Z73" i="59" s="1"/>
  <c r="Z37" i="79"/>
  <c r="X36" i="29"/>
  <c r="J99" i="21"/>
  <c r="L36" i="10"/>
  <c r="P166" i="18"/>
  <c r="X163" i="18"/>
  <c r="Z163" i="18" s="1"/>
  <c r="R163" i="18"/>
  <c r="P94" i="83"/>
  <c r="X94" i="83" s="1"/>
  <c r="X91" i="83"/>
  <c r="Z91" i="83" s="1"/>
  <c r="V97" i="74"/>
  <c r="J165" i="12"/>
  <c r="X36" i="44"/>
  <c r="L166" i="18"/>
  <c r="F166" i="18"/>
  <c r="D96" i="65"/>
  <c r="L93" i="65"/>
  <c r="N93" i="65" s="1"/>
  <c r="F93" i="65"/>
  <c r="X66" i="87"/>
  <c r="J86" i="51"/>
  <c r="P117" i="67"/>
  <c r="X114" i="67"/>
  <c r="Z114" i="67" s="1"/>
  <c r="R114" i="67"/>
  <c r="D165" i="12"/>
  <c r="L162" i="12"/>
  <c r="N162" i="12" s="1"/>
  <c r="F162" i="12"/>
  <c r="D106" i="45"/>
  <c r="L103" i="45"/>
  <c r="N103" i="45" s="1"/>
  <c r="F103" i="45"/>
  <c r="J86" i="69"/>
  <c r="X115" i="42"/>
  <c r="R115" i="42"/>
  <c r="L35" i="85"/>
  <c r="J82" i="91"/>
  <c r="V37" i="75"/>
  <c r="N37" i="79"/>
  <c r="L36" i="13"/>
  <c r="N166" i="18"/>
  <c r="J166" i="18"/>
  <c r="P82" i="33"/>
  <c r="X79" i="33"/>
  <c r="Z79" i="33" s="1"/>
  <c r="R79" i="33"/>
  <c r="V106" i="45"/>
  <c r="Z44" i="64"/>
  <c r="L179" i="3"/>
  <c r="N179" i="3" s="1"/>
  <c r="D184" i="3"/>
  <c r="F179" i="3"/>
  <c r="L98" i="82"/>
  <c r="N98" i="82" s="1"/>
  <c r="D101" i="82"/>
  <c r="F98" i="82"/>
  <c r="J82" i="68"/>
  <c r="X118" i="39"/>
  <c r="Z118" i="39" s="1"/>
  <c r="R118" i="39"/>
  <c r="X83" i="51"/>
  <c r="Z83" i="51" s="1"/>
  <c r="P86" i="51"/>
  <c r="R83" i="51"/>
  <c r="V129" i="30"/>
  <c r="X35" i="80"/>
  <c r="Z35" i="80" s="1"/>
  <c r="P124" i="36"/>
  <c r="X121" i="36"/>
  <c r="Z121" i="36" s="1"/>
  <c r="R121" i="36"/>
  <c r="V82" i="33"/>
  <c r="V98" i="76"/>
  <c r="X96" i="65"/>
  <c r="Z96" i="65" s="1"/>
  <c r="R96" i="65"/>
  <c r="D43" i="86"/>
  <c r="L40" i="86"/>
  <c r="N40" i="86" s="1"/>
  <c r="F40" i="86"/>
  <c r="J96" i="27"/>
  <c r="N82" i="78"/>
  <c r="L36" i="20"/>
  <c r="L82" i="33"/>
  <c r="N82" i="33" s="1"/>
  <c r="F82" i="33"/>
  <c r="Z115" i="42"/>
  <c r="V115" i="42"/>
  <c r="D32" i="72"/>
  <c r="L29" i="72"/>
  <c r="N29" i="72" s="1"/>
  <c r="F29" i="72"/>
  <c r="L36" i="29"/>
  <c r="J32" i="72"/>
  <c r="P99" i="89"/>
  <c r="X96" i="89"/>
  <c r="Z96" i="89" s="1"/>
  <c r="R96" i="89"/>
  <c r="J129" i="30"/>
  <c r="L36" i="32"/>
  <c r="X36" i="17"/>
  <c r="D115" i="42"/>
  <c r="L112" i="42"/>
  <c r="N112" i="42" s="1"/>
  <c r="F112" i="42"/>
  <c r="X36" i="38"/>
  <c r="X82" i="48"/>
  <c r="L36" i="14"/>
  <c r="L36" i="16"/>
  <c r="N31" i="6"/>
  <c r="J98" i="76"/>
  <c r="X93" i="73"/>
  <c r="Z93" i="73" s="1"/>
  <c r="R93" i="73"/>
  <c r="P96" i="88"/>
  <c r="X93" i="88"/>
  <c r="Z93" i="88" s="1"/>
  <c r="R93" i="88"/>
  <c r="J79" i="71"/>
  <c r="L91" i="24"/>
  <c r="N91" i="24" s="1"/>
  <c r="F91" i="24"/>
  <c r="N65" i="60"/>
  <c r="Z94" i="83"/>
  <c r="V94" i="83"/>
  <c r="Z108" i="62"/>
  <c r="D79" i="71"/>
  <c r="L79" i="71" s="1"/>
  <c r="N79" i="71" s="1"/>
  <c r="L76" i="71"/>
  <c r="N76" i="71" s="1"/>
  <c r="L36" i="31"/>
  <c r="V96" i="88"/>
  <c r="X99" i="90"/>
  <c r="Z99" i="90" s="1"/>
  <c r="R99" i="90"/>
  <c r="L74" i="57"/>
  <c r="N74" i="57" s="1"/>
  <c r="L36" i="26"/>
  <c r="X91" i="24"/>
  <c r="Z91" i="24" s="1"/>
  <c r="R91" i="24"/>
  <c r="V93" i="73"/>
  <c r="X99" i="89" l="1"/>
  <c r="Z99" i="89" s="1"/>
  <c r="R99" i="89"/>
  <c r="L106" i="45"/>
  <c r="N106" i="45" s="1"/>
  <c r="F106" i="45"/>
  <c r="X166" i="18"/>
  <c r="Z166" i="18" s="1"/>
  <c r="R166" i="18"/>
  <c r="L86" i="51"/>
  <c r="N86" i="51" s="1"/>
  <c r="F86" i="51"/>
  <c r="X124" i="36"/>
  <c r="Z124" i="36" s="1"/>
  <c r="R124" i="36"/>
  <c r="L184" i="3"/>
  <c r="N184" i="3" s="1"/>
  <c r="F184" i="3"/>
  <c r="L82" i="68"/>
  <c r="N82" i="68" s="1"/>
  <c r="F82" i="68"/>
  <c r="L82" i="48"/>
  <c r="N82" i="48" s="1"/>
  <c r="F82" i="48"/>
  <c r="X37" i="75"/>
  <c r="Z37" i="75" s="1"/>
  <c r="R37" i="75"/>
  <c r="X86" i="69"/>
  <c r="Z86" i="69" s="1"/>
  <c r="R86" i="69"/>
  <c r="L115" i="42"/>
  <c r="N115" i="42" s="1"/>
  <c r="F115" i="42"/>
  <c r="L43" i="86"/>
  <c r="N43" i="86" s="1"/>
  <c r="F43" i="86"/>
  <c r="X82" i="33"/>
  <c r="Z82" i="33" s="1"/>
  <c r="R82" i="33"/>
  <c r="X98" i="76"/>
  <c r="Z98" i="76" s="1"/>
  <c r="R98" i="76"/>
  <c r="X158" i="15"/>
  <c r="Z158" i="15" s="1"/>
  <c r="R158" i="15"/>
  <c r="L99" i="21"/>
  <c r="N99" i="21" s="1"/>
  <c r="F99" i="21"/>
  <c r="L165" i="12"/>
  <c r="N165" i="12" s="1"/>
  <c r="F165" i="12"/>
  <c r="X129" i="30"/>
  <c r="Z129" i="30" s="1"/>
  <c r="R129" i="30"/>
  <c r="L93" i="73"/>
  <c r="N93" i="73" s="1"/>
  <c r="F93" i="73"/>
  <c r="L96" i="65"/>
  <c r="N96" i="65" s="1"/>
  <c r="F96" i="65"/>
  <c r="L86" i="69"/>
  <c r="N86" i="69" s="1"/>
  <c r="F86" i="69"/>
  <c r="L37" i="75"/>
  <c r="N37" i="75" s="1"/>
  <c r="F37" i="75"/>
  <c r="L82" i="91"/>
  <c r="N82" i="91" s="1"/>
  <c r="F82" i="91"/>
  <c r="X97" i="74"/>
  <c r="Z97" i="74" s="1"/>
  <c r="R97" i="74"/>
  <c r="X32" i="72"/>
  <c r="Z32" i="72" s="1"/>
  <c r="R32" i="72"/>
  <c r="X96" i="27"/>
  <c r="Z96" i="27" s="1"/>
  <c r="R96" i="27"/>
  <c r="X96" i="88"/>
  <c r="Z96" i="88" s="1"/>
  <c r="R96" i="88"/>
  <c r="X165" i="12"/>
  <c r="Z165" i="12" s="1"/>
  <c r="R165" i="12"/>
  <c r="L32" i="72"/>
  <c r="N32" i="72" s="1"/>
  <c r="F32" i="72"/>
  <c r="X101" i="82"/>
  <c r="Z101" i="82" s="1"/>
  <c r="R101" i="82"/>
  <c r="L91" i="63"/>
  <c r="N91" i="63" s="1"/>
  <c r="F91" i="63"/>
  <c r="X86" i="51"/>
  <c r="Z86" i="51" s="1"/>
  <c r="R86" i="51"/>
  <c r="L101" i="82"/>
  <c r="N101" i="82" s="1"/>
  <c r="F101" i="82"/>
  <c r="X117" i="67"/>
  <c r="Z117" i="67" s="1"/>
  <c r="R117" i="67"/>
  <c r="L98" i="76"/>
  <c r="N98" i="76" s="1"/>
  <c r="F98" i="76"/>
</calcChain>
</file>

<file path=xl/sharedStrings.xml><?xml version="1.0" encoding="utf-8"?>
<sst xmlns="http://schemas.openxmlformats.org/spreadsheetml/2006/main" count="2714" uniqueCount="315">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</sst>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167" fontId="2" fillId="2" borderId="3" xfId="3" applyNumberFormat="1" applyFont="1" applyFill="1" applyBorder="1"/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7" fontId="0" fillId="0" borderId="0" xfId="3" applyNumberFormat="1" applyFont="1"/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49" fontId="2" fillId="0" borderId="0" xfId="0" applyNumberFormat="1" applyFont="1" applyFill="1"/>
    <xf numFmtId="0" fontId="3" fillId="0" borderId="0" xfId="0" applyFont="1"/>
    <xf numFmtId="0" fontId="2" fillId="0" borderId="0" xfId="0" applyFont="1" applyFill="1" applyBorder="1"/>
    <xf numFmtId="0" fontId="0" fillId="0" borderId="0" xfId="0" applyBorder="1"/>
    <xf numFmtId="0" fontId="0" fillId="0" borderId="0" xfId="0" applyFill="1" applyAlignment="1">
      <alignment horizontal="centerContinuous"/>
    </xf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65" fontId="0" fillId="0" borderId="0" xfId="0" applyNumberFormat="1"/>
    <xf numFmtId="166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Fill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139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107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107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256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256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314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314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199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199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81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7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6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81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22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22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125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125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200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200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55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189"/>
  <sheetViews>
    <sheetView tabSelected="1" zoomScale="80" workbookViewId="0">
      <pane xSplit="3" ySplit="10" topLeftCell="D96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313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1697984.62</v>
      </c>
      <c r="E12" s="4"/>
      <c r="F12" s="12"/>
      <c r="G12" s="4"/>
      <c r="H12" s="4">
        <f>SUM(OSRRefH13x_0)</f>
        <v>1508153</v>
      </c>
      <c r="I12" s="4"/>
      <c r="J12" s="12"/>
      <c r="K12" s="4"/>
      <c r="L12" s="4">
        <f t="shared" ref="L12:L23" si="0">+D12-H12</f>
        <v>189831.62000000011</v>
      </c>
      <c r="M12" s="4"/>
      <c r="N12" s="12">
        <f t="shared" ref="N12:N23" si="1">IF(H12=0,0,L12/H12)</f>
        <v>0.12587026647826852</v>
      </c>
      <c r="O12" s="10"/>
      <c r="P12" s="4">
        <f>SUM(OSRRefP13x_0)</f>
        <v>11375593.59</v>
      </c>
      <c r="Q12" s="4"/>
      <c r="R12" s="12"/>
      <c r="S12" s="4"/>
      <c r="T12" s="4">
        <f>SUM(OSRRefT13x_0)</f>
        <v>11676546</v>
      </c>
      <c r="U12" s="4"/>
      <c r="V12" s="12"/>
      <c r="W12" s="4"/>
      <c r="X12" s="4">
        <f t="shared" ref="X12:X23" si="2">+P12-T12</f>
        <v>-300952.41000000015</v>
      </c>
      <c r="Y12" s="4"/>
      <c r="Z12" s="12">
        <f t="shared" ref="Z12:Z23" si="3">IF(T12=0,0,X12/T12)</f>
        <v>-2.577409535319778E-2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--617096.02</f>
        <v>617096.02</v>
      </c>
      <c r="E13" s="2"/>
      <c r="F13" s="19"/>
      <c r="G13" s="2"/>
      <c r="H13" s="2">
        <v>477858</v>
      </c>
      <c r="I13" s="2"/>
      <c r="J13" s="19"/>
      <c r="K13" s="2"/>
      <c r="L13" s="2">
        <f t="shared" si="0"/>
        <v>139238.02000000002</v>
      </c>
      <c r="M13" s="2"/>
      <c r="N13" s="19">
        <f t="shared" si="1"/>
        <v>0.29137948930435403</v>
      </c>
      <c r="O13" s="11"/>
      <c r="P13" s="2">
        <f>--3943933.11</f>
        <v>3943933.11</v>
      </c>
      <c r="Q13" s="2"/>
      <c r="R13" s="19"/>
      <c r="S13" s="2"/>
      <c r="T13" s="2">
        <v>6100046</v>
      </c>
      <c r="U13" s="2"/>
      <c r="V13" s="19"/>
      <c r="W13" s="2"/>
      <c r="X13" s="2">
        <f t="shared" si="2"/>
        <v>-2156112.89</v>
      </c>
      <c r="Y13" s="2"/>
      <c r="Z13" s="19">
        <f t="shared" si="3"/>
        <v>-0.35345846408371351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--19631.62</f>
        <v>19631.62</v>
      </c>
      <c r="E14" s="2"/>
      <c r="F14" s="19"/>
      <c r="G14" s="2"/>
      <c r="H14" s="2"/>
      <c r="I14" s="2"/>
      <c r="J14" s="19"/>
      <c r="K14" s="2"/>
      <c r="L14" s="2">
        <f t="shared" si="0"/>
        <v>19631.62</v>
      </c>
      <c r="M14" s="2"/>
      <c r="N14" s="19">
        <f t="shared" si="1"/>
        <v>0</v>
      </c>
      <c r="O14" s="11"/>
      <c r="P14" s="2">
        <f>--146982.79</f>
        <v>146982.79</v>
      </c>
      <c r="Q14" s="2"/>
      <c r="R14" s="19"/>
      <c r="S14" s="2"/>
      <c r="T14" s="2"/>
      <c r="U14" s="2"/>
      <c r="V14" s="19"/>
      <c r="W14" s="2"/>
      <c r="X14" s="2">
        <f t="shared" si="2"/>
        <v>146982.79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--2035.19</f>
        <v>2035.19</v>
      </c>
      <c r="E15" s="2"/>
      <c r="F15" s="19"/>
      <c r="G15" s="2"/>
      <c r="H15" s="2"/>
      <c r="I15" s="2"/>
      <c r="J15" s="19"/>
      <c r="K15" s="2"/>
      <c r="L15" s="2">
        <f t="shared" si="0"/>
        <v>2035.19</v>
      </c>
      <c r="M15" s="2"/>
      <c r="N15" s="19">
        <f t="shared" si="1"/>
        <v>0</v>
      </c>
      <c r="O15" s="11"/>
      <c r="P15" s="2">
        <f>--10662.17</f>
        <v>10662.17</v>
      </c>
      <c r="Q15" s="2"/>
      <c r="R15" s="19"/>
      <c r="S15" s="2"/>
      <c r="T15" s="2"/>
      <c r="U15" s="2"/>
      <c r="V15" s="19"/>
      <c r="W15" s="2"/>
      <c r="X15" s="2">
        <f t="shared" si="2"/>
        <v>10662.17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--116954.97</f>
        <v>116954.97</v>
      </c>
      <c r="E16" s="2"/>
      <c r="F16" s="19"/>
      <c r="G16" s="2"/>
      <c r="H16" s="2">
        <v>1030295</v>
      </c>
      <c r="I16" s="2"/>
      <c r="J16" s="19"/>
      <c r="K16" s="2"/>
      <c r="L16" s="2">
        <f t="shared" si="0"/>
        <v>-913340.03</v>
      </c>
      <c r="M16" s="2"/>
      <c r="N16" s="19">
        <f t="shared" si="1"/>
        <v>-0.88648399730174365</v>
      </c>
      <c r="O16" s="11"/>
      <c r="P16" s="2">
        <f>--1419872.65</f>
        <v>1419872.65</v>
      </c>
      <c r="Q16" s="2"/>
      <c r="R16" s="19"/>
      <c r="S16" s="2"/>
      <c r="T16" s="2">
        <v>5576500</v>
      </c>
      <c r="U16" s="2"/>
      <c r="V16" s="19"/>
      <c r="W16" s="2"/>
      <c r="X16" s="2">
        <f t="shared" si="2"/>
        <v>-4156627.35</v>
      </c>
      <c r="Y16" s="2"/>
      <c r="Z16" s="19">
        <f t="shared" si="3"/>
        <v>-0.74538282973191072</v>
      </c>
    </row>
    <row r="17" spans="1:26" s="24" customFormat="1" hidden="1" outlineLevel="1" x14ac:dyDescent="0.3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ref="P17:P18" si="5">0</f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"4146", " - ", "NON-TAXABLE SALES-COIN OP MACH")</f>
        <v xml:space="preserve">          4146 - NON-TAXABLE SALES-COIN OP MACH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--1041445.01</f>
        <v>1041445.01</v>
      </c>
      <c r="E19" s="2"/>
      <c r="F19" s="19"/>
      <c r="G19" s="2"/>
      <c r="H19" s="2"/>
      <c r="I19" s="2"/>
      <c r="J19" s="19"/>
      <c r="K19" s="2"/>
      <c r="L19" s="2">
        <f t="shared" si="0"/>
        <v>1041445.01</v>
      </c>
      <c r="M19" s="2"/>
      <c r="N19" s="19">
        <f t="shared" si="1"/>
        <v>0</v>
      </c>
      <c r="O19" s="11"/>
      <c r="P19" s="2">
        <f>--6168445.67</f>
        <v>6168445.6699999999</v>
      </c>
      <c r="Q19" s="2"/>
      <c r="R19" s="19"/>
      <c r="S19" s="2"/>
      <c r="T19" s="2"/>
      <c r="U19" s="2"/>
      <c r="V19" s="19"/>
      <c r="W19" s="2"/>
      <c r="X19" s="2">
        <f t="shared" si="2"/>
        <v>6168445.6699999999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--5696.16</f>
        <v>5696.16</v>
      </c>
      <c r="E20" s="2"/>
      <c r="F20" s="19"/>
      <c r="G20" s="2"/>
      <c r="H20" s="2"/>
      <c r="I20" s="2"/>
      <c r="J20" s="19"/>
      <c r="K20" s="2"/>
      <c r="L20" s="2">
        <f t="shared" si="0"/>
        <v>5696.16</v>
      </c>
      <c r="M20" s="2"/>
      <c r="N20" s="19">
        <f t="shared" si="1"/>
        <v>0</v>
      </c>
      <c r="O20" s="11"/>
      <c r="P20" s="2">
        <f>--56465.99</f>
        <v>56465.99</v>
      </c>
      <c r="Q20" s="2"/>
      <c r="R20" s="19"/>
      <c r="S20" s="2"/>
      <c r="T20" s="2"/>
      <c r="U20" s="2"/>
      <c r="V20" s="19"/>
      <c r="W20" s="2"/>
      <c r="X20" s="2">
        <f t="shared" si="2"/>
        <v>56465.99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"4200", " - ", "TAXABLE RETURNS")</f>
        <v xml:space="preserve">          4200 - TAXABLE RETURNS</v>
      </c>
      <c r="C21" s="11"/>
      <c r="D21" s="2">
        <f>-53893.38</f>
        <v>-53893.38</v>
      </c>
      <c r="E21" s="2"/>
      <c r="F21" s="19"/>
      <c r="G21" s="2"/>
      <c r="H21" s="2"/>
      <c r="I21" s="2"/>
      <c r="J21" s="19"/>
      <c r="K21" s="2"/>
      <c r="L21" s="2">
        <f t="shared" si="0"/>
        <v>-53893.38</v>
      </c>
      <c r="M21" s="2"/>
      <c r="N21" s="19">
        <f t="shared" si="1"/>
        <v>0</v>
      </c>
      <c r="O21" s="11"/>
      <c r="P21" s="2">
        <f>-278401.22</f>
        <v>-278401.21999999997</v>
      </c>
      <c r="Q21" s="2"/>
      <c r="R21" s="19"/>
      <c r="S21" s="2"/>
      <c r="T21" s="2"/>
      <c r="U21" s="2"/>
      <c r="V21" s="19"/>
      <c r="W21" s="2"/>
      <c r="X21" s="2">
        <f t="shared" si="2"/>
        <v>-278401.21999999997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"4300", " - ", "NON-TAX RETURNS")</f>
        <v xml:space="preserve">          4300 - NON-TAX RETURNS</v>
      </c>
      <c r="C22" s="11"/>
      <c r="D22" s="2">
        <f>-678.95</f>
        <v>-678.95</v>
      </c>
      <c r="E22" s="2"/>
      <c r="F22" s="19"/>
      <c r="G22" s="2"/>
      <c r="H22" s="2"/>
      <c r="I22" s="2"/>
      <c r="J22" s="19"/>
      <c r="K22" s="2"/>
      <c r="L22" s="2">
        <f t="shared" si="0"/>
        <v>-678.95</v>
      </c>
      <c r="M22" s="2"/>
      <c r="N22" s="19">
        <f t="shared" si="1"/>
        <v>0</v>
      </c>
      <c r="O22" s="11"/>
      <c r="P22" s="2">
        <f>-27884.13</f>
        <v>-27884.13</v>
      </c>
      <c r="Q22" s="2"/>
      <c r="R22" s="19"/>
      <c r="S22" s="2"/>
      <c r="T22" s="2"/>
      <c r="U22" s="2"/>
      <c r="V22" s="19"/>
      <c r="W22" s="2"/>
      <c r="X22" s="2">
        <f t="shared" si="2"/>
        <v>-27884.13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"4500", " - ", "SALES DISCOUNT")</f>
        <v xml:space="preserve">          4500 - SALES DISCOUNT</v>
      </c>
      <c r="C23" s="11"/>
      <c r="D23" s="2">
        <f>-50302.02</f>
        <v>-50302.02</v>
      </c>
      <c r="E23" s="2"/>
      <c r="F23" s="19"/>
      <c r="G23" s="2"/>
      <c r="H23" s="2"/>
      <c r="I23" s="2"/>
      <c r="J23" s="19"/>
      <c r="K23" s="2"/>
      <c r="L23" s="2">
        <f t="shared" si="0"/>
        <v>-50302.02</v>
      </c>
      <c r="M23" s="2"/>
      <c r="N23" s="19">
        <f t="shared" si="1"/>
        <v>0</v>
      </c>
      <c r="O23" s="11"/>
      <c r="P23" s="2">
        <f>-64483.44</f>
        <v>-64483.44</v>
      </c>
      <c r="Q23" s="2"/>
      <c r="R23" s="19"/>
      <c r="S23" s="2"/>
      <c r="T23" s="2"/>
      <c r="U23" s="2"/>
      <c r="V23" s="19"/>
      <c r="W23" s="2"/>
      <c r="X23" s="2">
        <f t="shared" si="2"/>
        <v>-64483.44</v>
      </c>
      <c r="Y23" s="2"/>
      <c r="Z23" s="19">
        <f t="shared" si="3"/>
        <v>0</v>
      </c>
    </row>
    <row r="24" spans="1:26" x14ac:dyDescent="0.3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3">
      <c r="A25" s="10"/>
      <c r="B25" s="25" t="s">
        <v>257</v>
      </c>
      <c r="C25" s="10"/>
      <c r="D25" s="4">
        <f>SUM(OSRRefD16x_0)</f>
        <v>653925.90999999992</v>
      </c>
      <c r="E25" s="4"/>
      <c r="F25" s="12">
        <f t="shared" ref="F25:F60" si="6">IF(D$12=0,0,D25/D$12)</f>
        <v>0.38511886521092276</v>
      </c>
      <c r="G25" s="4"/>
      <c r="H25" s="4">
        <f>SUM(OSRRefH16x_0)</f>
        <v>564114</v>
      </c>
      <c r="I25" s="4"/>
      <c r="J25" s="12">
        <f t="shared" ref="J25:J60" si="7">IF(H$12=0,0,H25/H$12)</f>
        <v>0.37404295187557229</v>
      </c>
      <c r="K25" s="4"/>
      <c r="L25" s="4">
        <f t="shared" ref="L25:L60" si="8">+D25-H25</f>
        <v>89811.909999999916</v>
      </c>
      <c r="M25" s="4"/>
      <c r="N25" s="12">
        <f t="shared" ref="N25:N60" si="9">IF(H25=0,0,L25/H25)</f>
        <v>0.15920879467625323</v>
      </c>
      <c r="O25" s="10"/>
      <c r="P25" s="4">
        <f>SUM(OSRRefP16x_0)</f>
        <v>4818659.2299999995</v>
      </c>
      <c r="Q25" s="4"/>
      <c r="R25" s="12">
        <f t="shared" ref="R25:R60" si="10">IF(P$12=0,0,P25/P$12)</f>
        <v>0.42359628900912588</v>
      </c>
      <c r="S25" s="4"/>
      <c r="T25" s="4">
        <f>SUM(OSRRefT16x_0)</f>
        <v>5693348</v>
      </c>
      <c r="U25" s="4"/>
      <c r="V25" s="12">
        <f t="shared" ref="V25:V60" si="11">IF(T$12=0,0,T25/T$12)</f>
        <v>0.48758836731341615</v>
      </c>
      <c r="W25" s="4"/>
      <c r="X25" s="4">
        <f t="shared" ref="X25:X60" si="12">+P25-T25</f>
        <v>-874688.77000000048</v>
      </c>
      <c r="Y25" s="4"/>
      <c r="Z25" s="12">
        <f t="shared" ref="Z25:Z60" si="13">IF(T25=0,0,X25/T25)</f>
        <v>-0.15363346312222623</v>
      </c>
    </row>
    <row r="26" spans="1:26" s="24" customFormat="1" hidden="1" outlineLevel="1" x14ac:dyDescent="0.3">
      <c r="A26" s="44"/>
      <c r="B26" s="11" t="str">
        <f>CONCATENATE("          ", "5000", " - ", "PURCHASES @ COST")</f>
        <v xml:space="preserve">          5000 - PURCHASES @ COST</v>
      </c>
      <c r="C26" s="11"/>
      <c r="D26" s="2">
        <v>467393.3</v>
      </c>
      <c r="E26" s="2"/>
      <c r="F26" s="19">
        <f t="shared" si="6"/>
        <v>0.27526356510814565</v>
      </c>
      <c r="G26" s="2"/>
      <c r="H26" s="2">
        <v>564114</v>
      </c>
      <c r="I26" s="2"/>
      <c r="J26" s="19">
        <f t="shared" si="7"/>
        <v>0.37404295187557229</v>
      </c>
      <c r="K26" s="2"/>
      <c r="L26" s="2">
        <f t="shared" si="8"/>
        <v>-96720.700000000012</v>
      </c>
      <c r="M26" s="2"/>
      <c r="N26" s="19">
        <f t="shared" si="9"/>
        <v>-0.17145594684762303</v>
      </c>
      <c r="O26" s="11"/>
      <c r="P26" s="2">
        <v>3459162.59</v>
      </c>
      <c r="Q26" s="2"/>
      <c r="R26" s="19">
        <f t="shared" si="10"/>
        <v>0.30408633735305585</v>
      </c>
      <c r="S26" s="2"/>
      <c r="T26" s="2">
        <v>5693348</v>
      </c>
      <c r="U26" s="2"/>
      <c r="V26" s="19">
        <f t="shared" si="11"/>
        <v>0.48758836731341615</v>
      </c>
      <c r="W26" s="2"/>
      <c r="X26" s="2">
        <f t="shared" si="12"/>
        <v>-2234185.41</v>
      </c>
      <c r="Y26" s="2"/>
      <c r="Z26" s="19">
        <f t="shared" si="13"/>
        <v>-0.39242031402261029</v>
      </c>
    </row>
    <row r="27" spans="1:26" s="24" customFormat="1" hidden="1" outlineLevel="1" x14ac:dyDescent="0.3">
      <c r="A27" s="44"/>
      <c r="B27" s="11" t="str">
        <f>CONCATENATE("          ", "5001", " - ", "PURCHASES @ COST-NEW TEXT")</f>
        <v xml:space="preserve">          5001 - PURCHASES @ COST-NEW TEXT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"5002", " - ", "PURCHASES @ COST-USED TEXT")</f>
        <v xml:space="preserve">          5002 - PURCHASES @ COST-USED TEXT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"5004", " - ", "PURCHASES @ COST-DIGITAL TEXT")</f>
        <v xml:space="preserve">          5004 - PURCHASES @ COST-DIGITAL TEXT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"5026", " - ", "PURCHASES @ COST-WRITING INSTR")</f>
        <v xml:space="preserve">          5026 - PURCHASES @ COST-WRITING INSTR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"5027", " - ", "PURCHASES @ COST-SCHOOL SUPPLI")</f>
        <v xml:space="preserve">          5027 - PURCHASES @ COST-SCHOOL SUPPLI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"5028", " - ", "PURCHASES @ COST-ART/TECH")</f>
        <v xml:space="preserve">          5028 - PURCHASES @ COST-ART/TECH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"5031", " - ", "PURCHASES @ COST-FOOD")</f>
        <v xml:space="preserve">          5031 - PURCHASES @ COST-FOOD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"5040", " - ", "PURCHASES @ COST-LOGO CLOTHING")</f>
        <v xml:space="preserve">          5040 - PURCHASES @ COST-LOGO CLOTHING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"5041", " - ", "PURCHASES @ COST-LOGO GIFTS")</f>
        <v xml:space="preserve">          5041 - PURCHASES @ COST-LOGO GIFTS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"5042", " - ", "PURCHASES @ COST-EVERYDAY GIFT")</f>
        <v xml:space="preserve">          5042 - PURCHASES @ COST-EVERYDAY GIFT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/>
      <c r="U36" s="2"/>
      <c r="V36" s="19">
        <f t="shared" si="11"/>
        <v>0</v>
      </c>
      <c r="W36" s="2"/>
      <c r="X36" s="2">
        <f t="shared" si="12"/>
        <v>0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"5043", " - ", "PURCHASES @ COST-CARDS")</f>
        <v xml:space="preserve">          5043 - PURCHASES @ COST-CARDS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0</v>
      </c>
      <c r="Q37" s="2"/>
      <c r="R37" s="19">
        <f t="shared" si="10"/>
        <v>0</v>
      </c>
      <c r="S37" s="2"/>
      <c r="T37" s="2"/>
      <c r="U37" s="2"/>
      <c r="V37" s="19">
        <f t="shared" si="11"/>
        <v>0</v>
      </c>
      <c r="W37" s="2"/>
      <c r="X37" s="2">
        <f t="shared" si="12"/>
        <v>0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"5044", " - ", "PURCHASES @ COST-ACCESSORIES")</f>
        <v xml:space="preserve">          5044 - PURCHASES @ COST-ACCESSORIES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0</v>
      </c>
      <c r="Q38" s="2"/>
      <c r="R38" s="19">
        <f t="shared" si="10"/>
        <v>0</v>
      </c>
      <c r="S38" s="2"/>
      <c r="T38" s="2"/>
      <c r="U38" s="2"/>
      <c r="V38" s="19">
        <f t="shared" si="11"/>
        <v>0</v>
      </c>
      <c r="W38" s="2"/>
      <c r="X38" s="2">
        <f t="shared" si="12"/>
        <v>0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"5045", " - ", "PURCHASES @ COST-SPECIAL ORDER")</f>
        <v xml:space="preserve">          5045 - PURCHASES @ COST-SPECIAL ORDER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0</v>
      </c>
      <c r="Q39" s="2"/>
      <c r="R39" s="19">
        <f t="shared" si="10"/>
        <v>0</v>
      </c>
      <c r="S39" s="2"/>
      <c r="T39" s="2"/>
      <c r="U39" s="2"/>
      <c r="V39" s="19">
        <f t="shared" si="11"/>
        <v>0</v>
      </c>
      <c r="W39" s="2"/>
      <c r="X39" s="2">
        <f t="shared" si="12"/>
        <v>0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"5053", " - ", "PURCHASES @ COST-FOOD")</f>
        <v xml:space="preserve">          5053 - PURCHASES @ COST-FOOD</v>
      </c>
      <c r="C40" s="11"/>
      <c r="D40" s="2">
        <v>206258.18</v>
      </c>
      <c r="E40" s="2"/>
      <c r="F40" s="19">
        <f t="shared" si="6"/>
        <v>0.12147234878959032</v>
      </c>
      <c r="G40" s="2"/>
      <c r="H40" s="2"/>
      <c r="I40" s="2"/>
      <c r="J40" s="19">
        <f t="shared" si="7"/>
        <v>0</v>
      </c>
      <c r="K40" s="2"/>
      <c r="L40" s="2">
        <f t="shared" si="8"/>
        <v>206258.18</v>
      </c>
      <c r="M40" s="2"/>
      <c r="N40" s="19">
        <f t="shared" si="9"/>
        <v>0</v>
      </c>
      <c r="O40" s="11"/>
      <c r="P40" s="2">
        <v>1770123.88</v>
      </c>
      <c r="Q40" s="2"/>
      <c r="R40" s="19">
        <f t="shared" si="10"/>
        <v>0.15560716599053534</v>
      </c>
      <c r="S40" s="2"/>
      <c r="T40" s="2"/>
      <c r="U40" s="2"/>
      <c r="V40" s="19">
        <f t="shared" si="11"/>
        <v>0</v>
      </c>
      <c r="W40" s="2"/>
      <c r="X40" s="2">
        <f t="shared" si="12"/>
        <v>1770123.88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"5059", " - ", "PURCHASES @ COST-FOOD")</f>
        <v xml:space="preserve">          5059 - PURCHASES @ COST-FOOD</v>
      </c>
      <c r="C41" s="11"/>
      <c r="D41" s="2">
        <v>69739.89</v>
      </c>
      <c r="E41" s="2"/>
      <c r="F41" s="19">
        <f t="shared" si="6"/>
        <v>4.1072156472182882E-2</v>
      </c>
      <c r="G41" s="2"/>
      <c r="H41" s="2"/>
      <c r="I41" s="2"/>
      <c r="J41" s="19">
        <f t="shared" si="7"/>
        <v>0</v>
      </c>
      <c r="K41" s="2"/>
      <c r="L41" s="2">
        <f t="shared" si="8"/>
        <v>69739.89</v>
      </c>
      <c r="M41" s="2"/>
      <c r="N41" s="19">
        <f t="shared" si="9"/>
        <v>0</v>
      </c>
      <c r="O41" s="11"/>
      <c r="P41" s="2">
        <v>14120.79</v>
      </c>
      <c r="Q41" s="2"/>
      <c r="R41" s="19">
        <f t="shared" si="10"/>
        <v>1.2413233549775579E-3</v>
      </c>
      <c r="S41" s="2"/>
      <c r="T41" s="2"/>
      <c r="U41" s="2"/>
      <c r="V41" s="19">
        <f t="shared" si="11"/>
        <v>0</v>
      </c>
      <c r="W41" s="2"/>
      <c r="X41" s="2">
        <f t="shared" si="12"/>
        <v>14120.79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/>
      <c r="E42" s="2"/>
      <c r="F42" s="19">
        <f t="shared" si="6"/>
        <v>0</v>
      </c>
      <c r="G42" s="2"/>
      <c r="H42" s="2"/>
      <c r="I42" s="2"/>
      <c r="J42" s="19">
        <f t="shared" si="7"/>
        <v>0</v>
      </c>
      <c r="K42" s="2"/>
      <c r="L42" s="2">
        <f t="shared" si="8"/>
        <v>0</v>
      </c>
      <c r="M42" s="2"/>
      <c r="N42" s="19">
        <f t="shared" si="9"/>
        <v>0</v>
      </c>
      <c r="O42" s="11"/>
      <c r="P42" s="2">
        <v>0</v>
      </c>
      <c r="Q42" s="2"/>
      <c r="R42" s="19">
        <f t="shared" si="10"/>
        <v>0</v>
      </c>
      <c r="S42" s="2"/>
      <c r="T42" s="2"/>
      <c r="U42" s="2"/>
      <c r="V42" s="19">
        <f t="shared" si="11"/>
        <v>0</v>
      </c>
      <c r="W42" s="2"/>
      <c r="X42" s="2">
        <f t="shared" si="12"/>
        <v>0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-6160.03</v>
      </c>
      <c r="E43" s="2"/>
      <c r="F43" s="19">
        <f t="shared" si="6"/>
        <v>-3.6278479365731823E-3</v>
      </c>
      <c r="G43" s="2"/>
      <c r="H43" s="2"/>
      <c r="I43" s="2"/>
      <c r="J43" s="19">
        <f t="shared" si="7"/>
        <v>0</v>
      </c>
      <c r="K43" s="2"/>
      <c r="L43" s="2">
        <f t="shared" si="8"/>
        <v>-6160.03</v>
      </c>
      <c r="M43" s="2"/>
      <c r="N43" s="19">
        <f t="shared" si="9"/>
        <v>0</v>
      </c>
      <c r="O43" s="11"/>
      <c r="P43" s="2">
        <v>-86869.48</v>
      </c>
      <c r="Q43" s="2"/>
      <c r="R43" s="19">
        <f t="shared" si="10"/>
        <v>-7.6364788626384107E-3</v>
      </c>
      <c r="S43" s="2"/>
      <c r="T43" s="2"/>
      <c r="U43" s="2"/>
      <c r="V43" s="19">
        <f t="shared" si="11"/>
        <v>0</v>
      </c>
      <c r="W43" s="2"/>
      <c r="X43" s="2">
        <f t="shared" si="12"/>
        <v>-86869.48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"5085", " - ", "PURCHASES @ COST-SOFTWARE")</f>
        <v xml:space="preserve">          5085 - PURCHASES @ COST-SOFTWARE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"5086", " - ", "PURCHASES @ COST-COMPUTER SUPP")</f>
        <v xml:space="preserve">          5086 - PURCHASES @ COST-COMPUTER SUPP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-479454</v>
      </c>
      <c r="E47" s="2"/>
      <c r="F47" s="19">
        <f t="shared" si="6"/>
        <v>-0.28236651519258166</v>
      </c>
      <c r="G47" s="2"/>
      <c r="H47" s="2"/>
      <c r="I47" s="2"/>
      <c r="J47" s="19">
        <f t="shared" si="7"/>
        <v>0</v>
      </c>
      <c r="K47" s="2"/>
      <c r="L47" s="2">
        <f t="shared" si="8"/>
        <v>-479454</v>
      </c>
      <c r="M47" s="2"/>
      <c r="N47" s="19">
        <f t="shared" si="9"/>
        <v>0</v>
      </c>
      <c r="O47" s="11"/>
      <c r="P47" s="2">
        <v>-3278277.91</v>
      </c>
      <c r="Q47" s="2"/>
      <c r="R47" s="19">
        <f t="shared" si="10"/>
        <v>-0.28818521724280416</v>
      </c>
      <c r="S47" s="2"/>
      <c r="T47" s="2"/>
      <c r="U47" s="2"/>
      <c r="V47" s="19">
        <f t="shared" si="11"/>
        <v>0</v>
      </c>
      <c r="W47" s="2"/>
      <c r="X47" s="2">
        <f t="shared" si="12"/>
        <v>-3278277.91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"5300", " - ", "COG$ OFFSET")</f>
        <v xml:space="preserve">          5300 - COG$ OFFSET</v>
      </c>
      <c r="C48" s="11"/>
      <c r="D48" s="2">
        <v>386623.33</v>
      </c>
      <c r="E48" s="2"/>
      <c r="F48" s="19">
        <f t="shared" si="6"/>
        <v>0.22769542517999955</v>
      </c>
      <c r="G48" s="2"/>
      <c r="H48" s="2"/>
      <c r="I48" s="2"/>
      <c r="J48" s="19">
        <f t="shared" si="7"/>
        <v>0</v>
      </c>
      <c r="K48" s="2"/>
      <c r="L48" s="2">
        <f t="shared" si="8"/>
        <v>386623.33</v>
      </c>
      <c r="M48" s="2"/>
      <c r="N48" s="19">
        <f t="shared" si="9"/>
        <v>0</v>
      </c>
      <c r="O48" s="11"/>
      <c r="P48" s="2">
        <v>2870072.87</v>
      </c>
      <c r="Q48" s="2"/>
      <c r="R48" s="19">
        <f t="shared" si="10"/>
        <v>0.2523009324562201</v>
      </c>
      <c r="S48" s="2"/>
      <c r="T48" s="2"/>
      <c r="U48" s="2"/>
      <c r="V48" s="19">
        <f t="shared" si="11"/>
        <v>0</v>
      </c>
      <c r="W48" s="2"/>
      <c r="X48" s="2">
        <f t="shared" si="12"/>
        <v>2870072.87</v>
      </c>
      <c r="Y48" s="2"/>
      <c r="Z48" s="19">
        <f t="shared" si="13"/>
        <v>0</v>
      </c>
    </row>
    <row r="49" spans="1:26" s="24" customFormat="1" hidden="1" outlineLevel="1" x14ac:dyDescent="0.3">
      <c r="A49" s="44"/>
      <c r="B49" s="11" t="str">
        <f>CONCATENATE("          ", "5500", " - ", "FREIGHT-IN")</f>
        <v xml:space="preserve">          5500 - FREIGHT-IN</v>
      </c>
      <c r="C49" s="11"/>
      <c r="D49" s="2">
        <v>9525.24</v>
      </c>
      <c r="E49" s="2"/>
      <c r="F49" s="19">
        <f t="shared" si="6"/>
        <v>5.6097327901591942E-3</v>
      </c>
      <c r="G49" s="2"/>
      <c r="H49" s="2"/>
      <c r="I49" s="2"/>
      <c r="J49" s="19">
        <f t="shared" si="7"/>
        <v>0</v>
      </c>
      <c r="K49" s="2"/>
      <c r="L49" s="2">
        <f t="shared" si="8"/>
        <v>9525.24</v>
      </c>
      <c r="M49" s="2"/>
      <c r="N49" s="19">
        <f t="shared" si="9"/>
        <v>0</v>
      </c>
      <c r="O49" s="11"/>
      <c r="P49" s="2">
        <v>70326.490000000005</v>
      </c>
      <c r="Q49" s="2"/>
      <c r="R49" s="19">
        <f t="shared" si="10"/>
        <v>6.1822259597795644E-3</v>
      </c>
      <c r="S49" s="2"/>
      <c r="T49" s="2"/>
      <c r="U49" s="2"/>
      <c r="V49" s="19">
        <f t="shared" si="11"/>
        <v>0</v>
      </c>
      <c r="W49" s="2"/>
      <c r="X49" s="2">
        <f t="shared" si="12"/>
        <v>70326.490000000005</v>
      </c>
      <c r="Y49" s="2"/>
      <c r="Z49" s="19">
        <f t="shared" si="13"/>
        <v>0</v>
      </c>
    </row>
    <row r="50" spans="1:26" s="24" customFormat="1" hidden="1" outlineLevel="1" x14ac:dyDescent="0.3">
      <c r="A50" s="44"/>
      <c r="B50" s="11" t="str">
        <f>CONCATENATE("          ", "5501", " - ", "FREIGHT-IN-NEW TEXT")</f>
        <v xml:space="preserve">          5501 - FREIGHT-IN-NEW TEXT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0</v>
      </c>
      <c r="Q50" s="2"/>
      <c r="R50" s="19">
        <f t="shared" si="10"/>
        <v>0</v>
      </c>
      <c r="S50" s="2"/>
      <c r="T50" s="2"/>
      <c r="U50" s="2"/>
      <c r="V50" s="19">
        <f t="shared" si="11"/>
        <v>0</v>
      </c>
      <c r="W50" s="2"/>
      <c r="X50" s="2">
        <f t="shared" si="12"/>
        <v>0</v>
      </c>
      <c r="Y50" s="2"/>
      <c r="Z50" s="19">
        <f t="shared" si="13"/>
        <v>0</v>
      </c>
    </row>
    <row r="51" spans="1:26" s="24" customFormat="1" hidden="1" outlineLevel="1" x14ac:dyDescent="0.3">
      <c r="A51" s="44"/>
      <c r="B51" s="11" t="str">
        <f>CONCATENATE("          ", "5502", " - ", "FREIGHT-IN-USED TEXT")</f>
        <v xml:space="preserve">          5502 - FREIGHT-IN-USED TEXT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3">
      <c r="A52" s="44"/>
      <c r="B52" s="11" t="str">
        <f>CONCATENATE("          ", "5518", " - ", "FREIGHT-IN-STUDY GUIDES")</f>
        <v xml:space="preserve">          5518 - FREIGHT-IN-STUDY GUIDES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0</v>
      </c>
      <c r="Q52" s="2"/>
      <c r="R52" s="19">
        <f t="shared" si="10"/>
        <v>0</v>
      </c>
      <c r="S52" s="2"/>
      <c r="T52" s="2"/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s="24" customFormat="1" hidden="1" outlineLevel="1" x14ac:dyDescent="0.3">
      <c r="A53" s="44"/>
      <c r="B53" s="11" t="str">
        <f>CONCATENATE("          ", "5527", " - ", "FREIGHT-IN-SCHOOL SUPPLIES")</f>
        <v xml:space="preserve">          5527 - FREIGHT-IN-SCHOOL SUPPLIES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0</v>
      </c>
      <c r="Q53" s="2"/>
      <c r="R53" s="19">
        <f t="shared" si="10"/>
        <v>0</v>
      </c>
      <c r="S53" s="2"/>
      <c r="T53" s="2"/>
      <c r="U53" s="2"/>
      <c r="V53" s="19">
        <f t="shared" si="11"/>
        <v>0</v>
      </c>
      <c r="W53" s="2"/>
      <c r="X53" s="2">
        <f t="shared" si="12"/>
        <v>0</v>
      </c>
      <c r="Y53" s="2"/>
      <c r="Z53" s="19">
        <f t="shared" si="13"/>
        <v>0</v>
      </c>
    </row>
    <row r="54" spans="1:26" s="24" customFormat="1" hidden="1" outlineLevel="1" x14ac:dyDescent="0.3">
      <c r="A54" s="44"/>
      <c r="B54" s="11" t="str">
        <f>CONCATENATE("          ", "5528", " - ", "FREIGHT-IN-ART/TECH")</f>
        <v xml:space="preserve">          5528 - FREIGHT-IN-ART/TECH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0</v>
      </c>
      <c r="Q54" s="2"/>
      <c r="R54" s="19">
        <f t="shared" si="10"/>
        <v>0</v>
      </c>
      <c r="S54" s="2"/>
      <c r="T54" s="2"/>
      <c r="U54" s="2"/>
      <c r="V54" s="19">
        <f t="shared" si="11"/>
        <v>0</v>
      </c>
      <c r="W54" s="2"/>
      <c r="X54" s="2">
        <f t="shared" si="12"/>
        <v>0</v>
      </c>
      <c r="Y54" s="2"/>
      <c r="Z54" s="19">
        <f t="shared" si="13"/>
        <v>0</v>
      </c>
    </row>
    <row r="55" spans="1:26" s="24" customFormat="1" hidden="1" outlineLevel="1" x14ac:dyDescent="0.3">
      <c r="A55" s="44"/>
      <c r="B55" s="11" t="str">
        <f>CONCATENATE("          ", "5540", " - ", "FREIGHT-IN-LOGO CLOTHING")</f>
        <v xml:space="preserve">          5540 - FREIGHT-IN-LOGO CLOTHING</v>
      </c>
      <c r="C55" s="11"/>
      <c r="D55" s="2"/>
      <c r="E55" s="2"/>
      <c r="F55" s="19">
        <f t="shared" si="6"/>
        <v>0</v>
      </c>
      <c r="G55" s="2"/>
      <c r="H55" s="2"/>
      <c r="I55" s="2"/>
      <c r="J55" s="19">
        <f t="shared" si="7"/>
        <v>0</v>
      </c>
      <c r="K55" s="2"/>
      <c r="L55" s="2">
        <f t="shared" si="8"/>
        <v>0</v>
      </c>
      <c r="M55" s="2"/>
      <c r="N55" s="19">
        <f t="shared" si="9"/>
        <v>0</v>
      </c>
      <c r="O55" s="11"/>
      <c r="P55" s="2">
        <v>0</v>
      </c>
      <c r="Q55" s="2"/>
      <c r="R55" s="19">
        <f t="shared" si="10"/>
        <v>0</v>
      </c>
      <c r="S55" s="2"/>
      <c r="T55" s="2"/>
      <c r="U55" s="2"/>
      <c r="V55" s="19">
        <f t="shared" si="11"/>
        <v>0</v>
      </c>
      <c r="W55" s="2"/>
      <c r="X55" s="2">
        <f t="shared" si="12"/>
        <v>0</v>
      </c>
      <c r="Y55" s="2"/>
      <c r="Z55" s="19">
        <f t="shared" si="13"/>
        <v>0</v>
      </c>
    </row>
    <row r="56" spans="1:26" s="24" customFormat="1" hidden="1" outlineLevel="1" x14ac:dyDescent="0.3">
      <c r="A56" s="44"/>
      <c r="B56" s="11" t="str">
        <f>CONCATENATE("          ", "5541", " - ", "FREIGHT-IN-LOGO GIFTS")</f>
        <v xml:space="preserve">          5541 - FREIGHT-IN-LOGO GIFTS</v>
      </c>
      <c r="C56" s="11"/>
      <c r="D56" s="2"/>
      <c r="E56" s="2"/>
      <c r="F56" s="19">
        <f t="shared" si="6"/>
        <v>0</v>
      </c>
      <c r="G56" s="2"/>
      <c r="H56" s="2"/>
      <c r="I56" s="2"/>
      <c r="J56" s="19">
        <f t="shared" si="7"/>
        <v>0</v>
      </c>
      <c r="K56" s="2"/>
      <c r="L56" s="2">
        <f t="shared" si="8"/>
        <v>0</v>
      </c>
      <c r="M56" s="2"/>
      <c r="N56" s="19">
        <f t="shared" si="9"/>
        <v>0</v>
      </c>
      <c r="O56" s="11"/>
      <c r="P56" s="2">
        <v>0</v>
      </c>
      <c r="Q56" s="2"/>
      <c r="R56" s="19">
        <f t="shared" si="10"/>
        <v>0</v>
      </c>
      <c r="S56" s="2"/>
      <c r="T56" s="2"/>
      <c r="U56" s="2"/>
      <c r="V56" s="19">
        <f t="shared" si="11"/>
        <v>0</v>
      </c>
      <c r="W56" s="2"/>
      <c r="X56" s="2">
        <f t="shared" si="12"/>
        <v>0</v>
      </c>
      <c r="Y56" s="2"/>
      <c r="Z56" s="19">
        <f t="shared" si="13"/>
        <v>0</v>
      </c>
    </row>
    <row r="57" spans="1:26" s="24" customFormat="1" hidden="1" outlineLevel="1" x14ac:dyDescent="0.3">
      <c r="A57" s="44"/>
      <c r="B57" s="11" t="str">
        <f>CONCATENATE("          ", "5542", " - ", "FREIGHT-IN-EVERYDAY GIFTS")</f>
        <v xml:space="preserve">          5542 - FREIGHT-IN-EVERYDAY GIFTS</v>
      </c>
      <c r="C57" s="11"/>
      <c r="D57" s="2"/>
      <c r="E57" s="2"/>
      <c r="F57" s="19">
        <f t="shared" si="6"/>
        <v>0</v>
      </c>
      <c r="G57" s="2"/>
      <c r="H57" s="2"/>
      <c r="I57" s="2"/>
      <c r="J57" s="19">
        <f t="shared" si="7"/>
        <v>0</v>
      </c>
      <c r="K57" s="2"/>
      <c r="L57" s="2">
        <f t="shared" si="8"/>
        <v>0</v>
      </c>
      <c r="M57" s="2"/>
      <c r="N57" s="19">
        <f t="shared" si="9"/>
        <v>0</v>
      </c>
      <c r="O57" s="11"/>
      <c r="P57" s="2">
        <v>0</v>
      </c>
      <c r="Q57" s="2"/>
      <c r="R57" s="19">
        <f t="shared" si="10"/>
        <v>0</v>
      </c>
      <c r="S57" s="2"/>
      <c r="T57" s="2"/>
      <c r="U57" s="2"/>
      <c r="V57" s="19">
        <f t="shared" si="11"/>
        <v>0</v>
      </c>
      <c r="W57" s="2"/>
      <c r="X57" s="2">
        <f t="shared" si="12"/>
        <v>0</v>
      </c>
      <c r="Y57" s="2"/>
      <c r="Z57" s="19">
        <f t="shared" si="13"/>
        <v>0</v>
      </c>
    </row>
    <row r="58" spans="1:26" s="24" customFormat="1" hidden="1" outlineLevel="1" x14ac:dyDescent="0.3">
      <c r="A58" s="44"/>
      <c r="B58" s="11" t="str">
        <f>CONCATENATE("          ", "5544", " - ", "FREIGHT-IN-ACCESSORIES")</f>
        <v xml:space="preserve">          5544 - FREIGHT-IN-ACCESSORIES</v>
      </c>
      <c r="C58" s="11"/>
      <c r="D58" s="2"/>
      <c r="E58" s="2"/>
      <c r="F58" s="19">
        <f t="shared" si="6"/>
        <v>0</v>
      </c>
      <c r="G58" s="2"/>
      <c r="H58" s="2"/>
      <c r="I58" s="2"/>
      <c r="J58" s="19">
        <f t="shared" si="7"/>
        <v>0</v>
      </c>
      <c r="K58" s="2"/>
      <c r="L58" s="2">
        <f t="shared" si="8"/>
        <v>0</v>
      </c>
      <c r="M58" s="2"/>
      <c r="N58" s="19">
        <f t="shared" si="9"/>
        <v>0</v>
      </c>
      <c r="O58" s="11"/>
      <c r="P58" s="2">
        <v>0</v>
      </c>
      <c r="Q58" s="2"/>
      <c r="R58" s="19">
        <f t="shared" si="10"/>
        <v>0</v>
      </c>
      <c r="S58" s="2"/>
      <c r="T58" s="2"/>
      <c r="U58" s="2"/>
      <c r="V58" s="19">
        <f t="shared" si="11"/>
        <v>0</v>
      </c>
      <c r="W58" s="2"/>
      <c r="X58" s="2">
        <f t="shared" si="12"/>
        <v>0</v>
      </c>
      <c r="Y58" s="2"/>
      <c r="Z58" s="19">
        <f t="shared" si="13"/>
        <v>0</v>
      </c>
    </row>
    <row r="59" spans="1:26" s="24" customFormat="1" hidden="1" outlineLevel="1" x14ac:dyDescent="0.3">
      <c r="A59" s="44"/>
      <c r="B59" s="11" t="str">
        <f>CONCATENATE("          ", "5545", " - ", "FREIGHT-IN-SPECIAL ORDERS")</f>
        <v xml:space="preserve">          5545 - FREIGHT-IN-SPECIAL ORDERS</v>
      </c>
      <c r="C59" s="11"/>
      <c r="D59" s="2"/>
      <c r="E59" s="2"/>
      <c r="F59" s="19">
        <f t="shared" si="6"/>
        <v>0</v>
      </c>
      <c r="G59" s="2"/>
      <c r="H59" s="2"/>
      <c r="I59" s="2"/>
      <c r="J59" s="19">
        <f t="shared" si="7"/>
        <v>0</v>
      </c>
      <c r="K59" s="2"/>
      <c r="L59" s="2">
        <f t="shared" si="8"/>
        <v>0</v>
      </c>
      <c r="M59" s="2"/>
      <c r="N59" s="19">
        <f t="shared" si="9"/>
        <v>0</v>
      </c>
      <c r="O59" s="11"/>
      <c r="P59" s="2">
        <v>0</v>
      </c>
      <c r="Q59" s="2"/>
      <c r="R59" s="19">
        <f t="shared" si="10"/>
        <v>0</v>
      </c>
      <c r="S59" s="2"/>
      <c r="T59" s="2"/>
      <c r="U59" s="2"/>
      <c r="V59" s="19">
        <f t="shared" si="11"/>
        <v>0</v>
      </c>
      <c r="W59" s="2"/>
      <c r="X59" s="2">
        <f t="shared" si="12"/>
        <v>0</v>
      </c>
      <c r="Y59" s="2"/>
      <c r="Z59" s="19">
        <f t="shared" si="13"/>
        <v>0</v>
      </c>
    </row>
    <row r="60" spans="1:26" s="24" customFormat="1" hidden="1" outlineLevel="1" x14ac:dyDescent="0.3">
      <c r="A60" s="44"/>
      <c r="B60" s="11" t="str">
        <f>CONCATENATE("          ", "5583", " - ", "FREIGHT-IN-COMPUTER EQUIPMENT")</f>
        <v xml:space="preserve">          5583 - FREIGHT-IN-COMPUTER EQUIPMENT</v>
      </c>
      <c r="C60" s="11"/>
      <c r="D60" s="2"/>
      <c r="E60" s="2"/>
      <c r="F60" s="19">
        <f t="shared" si="6"/>
        <v>0</v>
      </c>
      <c r="G60" s="2"/>
      <c r="H60" s="2"/>
      <c r="I60" s="2"/>
      <c r="J60" s="19">
        <f t="shared" si="7"/>
        <v>0</v>
      </c>
      <c r="K60" s="2"/>
      <c r="L60" s="2">
        <f t="shared" si="8"/>
        <v>0</v>
      </c>
      <c r="M60" s="2"/>
      <c r="N60" s="19">
        <f t="shared" si="9"/>
        <v>0</v>
      </c>
      <c r="O60" s="11"/>
      <c r="P60" s="2">
        <v>0</v>
      </c>
      <c r="Q60" s="2"/>
      <c r="R60" s="19">
        <f t="shared" si="10"/>
        <v>0</v>
      </c>
      <c r="S60" s="2"/>
      <c r="T60" s="2"/>
      <c r="U60" s="2"/>
      <c r="V60" s="19">
        <f t="shared" si="11"/>
        <v>0</v>
      </c>
      <c r="W60" s="2"/>
      <c r="X60" s="2">
        <f t="shared" si="12"/>
        <v>0</v>
      </c>
      <c r="Y60" s="2"/>
      <c r="Z60" s="19">
        <f t="shared" si="13"/>
        <v>0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">
      <c r="A62" s="10"/>
      <c r="B62" s="26" t="s">
        <v>108</v>
      </c>
      <c r="C62" s="26"/>
      <c r="D62" s="20">
        <f>D12-D25</f>
        <v>1044058.7100000002</v>
      </c>
      <c r="E62" s="13"/>
      <c r="F62" s="22">
        <f>IF(D$12=0,0,D62/D$12)</f>
        <v>0.61488113478907724</v>
      </c>
      <c r="G62" s="13"/>
      <c r="H62" s="20">
        <f>H12-H25</f>
        <v>944039</v>
      </c>
      <c r="I62" s="13"/>
      <c r="J62" s="22">
        <f>IF(H$12=0,0,H62/H$12)</f>
        <v>0.62595704812442765</v>
      </c>
      <c r="K62" s="16"/>
      <c r="L62" s="20">
        <f>+D62-H62</f>
        <v>100019.7100000002</v>
      </c>
      <c r="M62" s="16"/>
      <c r="N62" s="22">
        <f>IF(H62=0,0,L62/H62)</f>
        <v>0.10594870550898872</v>
      </c>
      <c r="O62" s="25"/>
      <c r="P62" s="20">
        <f>P12-P25</f>
        <v>6556934.3600000003</v>
      </c>
      <c r="Q62" s="13"/>
      <c r="R62" s="22">
        <f>IF(P$12=0,0,P62/P$12)</f>
        <v>0.57640371099087417</v>
      </c>
      <c r="S62" s="13"/>
      <c r="T62" s="20">
        <f>T12-T25</f>
        <v>5983198</v>
      </c>
      <c r="U62" s="13"/>
      <c r="V62" s="22">
        <f>IF(T$12=0,0,T62/T$12)</f>
        <v>0.51241163268658385</v>
      </c>
      <c r="W62" s="16"/>
      <c r="X62" s="20">
        <f>+P62-T62</f>
        <v>573736.36000000034</v>
      </c>
      <c r="Y62" s="16"/>
      <c r="Z62" s="22">
        <f>IF(T62=0,0,X62/T62)</f>
        <v>9.5891254142015742E-2</v>
      </c>
    </row>
    <row r="63" spans="1:26" x14ac:dyDescent="0.3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3">
      <c r="A64" s="10"/>
      <c r="B64" s="25" t="s">
        <v>295</v>
      </c>
      <c r="C64" s="10"/>
      <c r="D64" s="21">
        <f>SUM(OSRRefD22x_0)</f>
        <v>962901.26999999979</v>
      </c>
      <c r="E64" s="21"/>
      <c r="F64" s="32">
        <f t="shared" ref="F64:F75" si="14">IF(D$12=0,0,D64/D$12)</f>
        <v>0.56708480080343704</v>
      </c>
      <c r="G64" s="21"/>
      <c r="H64" s="21">
        <f>SUM(OSRRefH22x_0)</f>
        <v>1036659.2946369328</v>
      </c>
      <c r="I64" s="21"/>
      <c r="J64" s="32">
        <f t="shared" ref="J64:J75" si="15">IF(H$12=0,0,H64/H$12)</f>
        <v>0.68737011074932897</v>
      </c>
      <c r="K64" s="4"/>
      <c r="L64" s="21">
        <f t="shared" ref="L64:L75" si="16">+D64-H64</f>
        <v>-73758.024636932998</v>
      </c>
      <c r="M64" s="4"/>
      <c r="N64" s="32">
        <f t="shared" ref="N64:N75" si="17">IF(H64=0,0,L64/H64)</f>
        <v>-7.1149725872824143E-2</v>
      </c>
      <c r="O64" s="10"/>
      <c r="P64" s="21">
        <f>SUM(OSRRefP22x_0)</f>
        <v>6102400.6200000001</v>
      </c>
      <c r="Q64" s="21"/>
      <c r="R64" s="32">
        <f t="shared" ref="R64:R75" si="18">IF(P$12=0,0,P64/P$12)</f>
        <v>0.53644678598262052</v>
      </c>
      <c r="S64" s="21"/>
      <c r="T64" s="21">
        <f>SUM(OSRRefT22x_0)</f>
        <v>6682159.1772809541</v>
      </c>
      <c r="U64" s="21"/>
      <c r="V64" s="32">
        <f t="shared" ref="V64:V75" si="19">IF(T$12=0,0,T64/T$12)</f>
        <v>0.57227190106397507</v>
      </c>
      <c r="W64" s="4"/>
      <c r="X64" s="21">
        <f t="shared" ref="X64:X75" si="20">+P64-T64</f>
        <v>-579758.55728095397</v>
      </c>
      <c r="Y64" s="4"/>
      <c r="Z64" s="32">
        <f t="shared" ref="Z64:Z75" si="21">IF(T64=0,0,X64/T64)</f>
        <v>-8.6762159041662373E-2</v>
      </c>
    </row>
    <row r="65" spans="1:26" s="28" customFormat="1" outlineLevel="1" collapsed="1" x14ac:dyDescent="0.3">
      <c r="A65" s="27"/>
      <c r="B65" s="14" t="str">
        <f>CONCATENATE("     ","*Benefits                                         ")</f>
        <v xml:space="preserve">     *Benefits                                         </v>
      </c>
      <c r="C65" s="14"/>
      <c r="D65" s="1">
        <f>SUM(OSRRefD22_0x_0)</f>
        <v>167279.97</v>
      </c>
      <c r="E65" s="1"/>
      <c r="F65" s="5">
        <f t="shared" si="14"/>
        <v>9.8516775729099351E-2</v>
      </c>
      <c r="G65" s="1"/>
      <c r="H65" s="1">
        <f>SUM(OSRRefH22_0x_0)</f>
        <v>183507.88379629469</v>
      </c>
      <c r="I65" s="1"/>
      <c r="J65" s="5">
        <f t="shared" si="15"/>
        <v>0.12167723287776153</v>
      </c>
      <c r="K65" s="1"/>
      <c r="L65" s="1">
        <f t="shared" si="16"/>
        <v>-16227.913796294684</v>
      </c>
      <c r="M65" s="1"/>
      <c r="N65" s="5">
        <f t="shared" si="17"/>
        <v>-8.8431698195096026E-2</v>
      </c>
      <c r="O65" s="14"/>
      <c r="P65" s="1">
        <f>SUM(OSRRefP22_0x_0)</f>
        <v>1027633.8900000001</v>
      </c>
      <c r="Q65" s="1"/>
      <c r="R65" s="5">
        <f t="shared" si="18"/>
        <v>9.0336726771196141E-2</v>
      </c>
      <c r="S65" s="1"/>
      <c r="T65" s="1">
        <f>SUM(OSRRefT22_0x_0)</f>
        <v>1194246.020338343</v>
      </c>
      <c r="U65" s="1"/>
      <c r="V65" s="5">
        <f t="shared" si="19"/>
        <v>0.10227733615217574</v>
      </c>
      <c r="W65" s="1"/>
      <c r="X65" s="1">
        <f t="shared" si="20"/>
        <v>-166612.13033834286</v>
      </c>
      <c r="Y65" s="1"/>
      <c r="Z65" s="5">
        <f t="shared" si="21"/>
        <v>-0.13951240154950637</v>
      </c>
    </row>
    <row r="66" spans="1:26" s="24" customFormat="1" hidden="1" outlineLevel="2" x14ac:dyDescent="0.3">
      <c r="A66" s="29"/>
      <c r="B66" s="11" t="str">
        <f>CONCATENATE("          ", "6111", " - ", "F.I.C.A.")</f>
        <v xml:space="preserve">          6111 - F.I.C.A.</v>
      </c>
      <c r="C66" s="11"/>
      <c r="D66" s="6">
        <v>24199.27</v>
      </c>
      <c r="E66" s="2"/>
      <c r="F66" s="7">
        <f t="shared" si="14"/>
        <v>1.4251760419361159E-2</v>
      </c>
      <c r="G66" s="2"/>
      <c r="H66" s="6">
        <v>24923.471735630999</v>
      </c>
      <c r="I66" s="2"/>
      <c r="J66" s="7">
        <f t="shared" si="15"/>
        <v>1.652582445921004E-2</v>
      </c>
      <c r="K66" s="2"/>
      <c r="L66" s="6">
        <f t="shared" si="16"/>
        <v>-724.20173563099888</v>
      </c>
      <c r="M66" s="2"/>
      <c r="N66" s="7">
        <f t="shared" si="17"/>
        <v>-2.90570167476174E-2</v>
      </c>
      <c r="O66" s="11"/>
      <c r="P66" s="6">
        <v>166348.93</v>
      </c>
      <c r="Q66" s="2"/>
      <c r="R66" s="7">
        <f t="shared" si="18"/>
        <v>1.4623318658837564E-2</v>
      </c>
      <c r="S66" s="2"/>
      <c r="T66" s="6">
        <v>172099.82162987499</v>
      </c>
      <c r="U66" s="2"/>
      <c r="V66" s="7">
        <f t="shared" si="19"/>
        <v>1.4738932354642803E-2</v>
      </c>
      <c r="W66" s="2"/>
      <c r="X66" s="6">
        <f t="shared" si="20"/>
        <v>-5750.8916298749973</v>
      </c>
      <c r="Y66" s="2"/>
      <c r="Z66" s="7">
        <f t="shared" si="21"/>
        <v>-3.3416023185910693E-2</v>
      </c>
    </row>
    <row r="67" spans="1:26" s="24" customFormat="1" hidden="1" outlineLevel="2" x14ac:dyDescent="0.3">
      <c r="A67" s="29"/>
      <c r="B67" s="11" t="str">
        <f>CONCATENATE("          ", "6112", " - ", "COMPENSATION INSURANCE")</f>
        <v xml:space="preserve">          6112 - COMPENSATION INSURANCE</v>
      </c>
      <c r="C67" s="11"/>
      <c r="D67" s="6">
        <v>12894.97</v>
      </c>
      <c r="E67" s="2"/>
      <c r="F67" s="7">
        <f t="shared" si="14"/>
        <v>7.5942796230981163E-3</v>
      </c>
      <c r="G67" s="2"/>
      <c r="H67" s="6">
        <v>15641.059625493799</v>
      </c>
      <c r="I67" s="2"/>
      <c r="J67" s="7">
        <f t="shared" si="15"/>
        <v>1.0371003224138267E-2</v>
      </c>
      <c r="K67" s="2"/>
      <c r="L67" s="6">
        <f t="shared" si="16"/>
        <v>-2746.0896254937998</v>
      </c>
      <c r="M67" s="2"/>
      <c r="N67" s="7">
        <f t="shared" si="17"/>
        <v>-0.17556928310776795</v>
      </c>
      <c r="O67" s="11"/>
      <c r="P67" s="6">
        <v>74173.83</v>
      </c>
      <c r="Q67" s="2"/>
      <c r="R67" s="7">
        <f t="shared" si="18"/>
        <v>6.5204360030235572E-3</v>
      </c>
      <c r="S67" s="2"/>
      <c r="T67" s="6">
        <v>97865.095166540006</v>
      </c>
      <c r="U67" s="2"/>
      <c r="V67" s="7">
        <f t="shared" si="19"/>
        <v>8.3813394103478892E-3</v>
      </c>
      <c r="W67" s="2"/>
      <c r="X67" s="6">
        <f t="shared" si="20"/>
        <v>-23691.265166540004</v>
      </c>
      <c r="Y67" s="2"/>
      <c r="Z67" s="7">
        <f t="shared" si="21"/>
        <v>-0.24208084737693106</v>
      </c>
    </row>
    <row r="68" spans="1:26" s="24" customFormat="1" hidden="1" outlineLevel="2" x14ac:dyDescent="0.3">
      <c r="A68" s="29"/>
      <c r="B68" s="11" t="str">
        <f>CONCATENATE("          ", "6113", " - ", "GROUP INSURANCE")</f>
        <v xml:space="preserve">          6113 - GROUP INSURANCE</v>
      </c>
      <c r="C68" s="11"/>
      <c r="D68" s="6">
        <v>75380.06</v>
      </c>
      <c r="E68" s="2"/>
      <c r="F68" s="7">
        <f t="shared" si="14"/>
        <v>4.439384144716222E-2</v>
      </c>
      <c r="G68" s="2"/>
      <c r="H68" s="6">
        <v>92687.738461538407</v>
      </c>
      <c r="I68" s="2"/>
      <c r="J68" s="7">
        <f t="shared" si="15"/>
        <v>6.1457782109334003E-2</v>
      </c>
      <c r="K68" s="2"/>
      <c r="L68" s="6">
        <f t="shared" si="16"/>
        <v>-17307.678461538409</v>
      </c>
      <c r="M68" s="2"/>
      <c r="N68" s="7">
        <f t="shared" si="17"/>
        <v>-0.18673104715701294</v>
      </c>
      <c r="O68" s="11"/>
      <c r="P68" s="6">
        <v>450861.79</v>
      </c>
      <c r="Q68" s="2"/>
      <c r="R68" s="7">
        <f t="shared" si="18"/>
        <v>3.9634133061534592E-2</v>
      </c>
      <c r="S68" s="2"/>
      <c r="T68" s="6">
        <v>599243.66538461496</v>
      </c>
      <c r="U68" s="2"/>
      <c r="V68" s="7">
        <f t="shared" si="19"/>
        <v>5.1320284730143224E-2</v>
      </c>
      <c r="W68" s="2"/>
      <c r="X68" s="6">
        <f t="shared" si="20"/>
        <v>-148381.87538461498</v>
      </c>
      <c r="Y68" s="2"/>
      <c r="Z68" s="7">
        <f t="shared" si="21"/>
        <v>-0.24761525896044048</v>
      </c>
    </row>
    <row r="69" spans="1:26" s="24" customFormat="1" hidden="1" outlineLevel="2" x14ac:dyDescent="0.3">
      <c r="A69" s="29"/>
      <c r="B69" s="11" t="str">
        <f>CONCATENATE("          ", "6114", " - ", "STATE UNEMPLOYMENT INSURANCE")</f>
        <v xml:space="preserve">          6114 - STATE UNEMPLOYMENT INSURANCE</v>
      </c>
      <c r="C69" s="11"/>
      <c r="D69" s="6">
        <v>1239.96</v>
      </c>
      <c r="E69" s="2"/>
      <c r="F69" s="7">
        <f t="shared" si="14"/>
        <v>7.3025396425557723E-4</v>
      </c>
      <c r="G69" s="2"/>
      <c r="H69" s="6">
        <v>1100.2977356700001</v>
      </c>
      <c r="I69" s="2"/>
      <c r="J69" s="7">
        <f t="shared" si="15"/>
        <v>7.2956638727635732E-4</v>
      </c>
      <c r="K69" s="2"/>
      <c r="L69" s="6">
        <f t="shared" si="16"/>
        <v>139.66226432999997</v>
      </c>
      <c r="M69" s="2"/>
      <c r="N69" s="7">
        <f t="shared" si="17"/>
        <v>0.12693133849353599</v>
      </c>
      <c r="O69" s="11"/>
      <c r="P69" s="6">
        <v>7420.01</v>
      </c>
      <c r="Q69" s="2"/>
      <c r="R69" s="7">
        <f t="shared" si="18"/>
        <v>6.5227453330635383E-4</v>
      </c>
      <c r="S69" s="2"/>
      <c r="T69" s="6">
        <v>6986.2721101788502</v>
      </c>
      <c r="U69" s="2"/>
      <c r="V69" s="7">
        <f t="shared" si="19"/>
        <v>5.9831666917415901E-4</v>
      </c>
      <c r="W69" s="2"/>
      <c r="X69" s="6">
        <f t="shared" si="20"/>
        <v>433.73788982115002</v>
      </c>
      <c r="Y69" s="2"/>
      <c r="Z69" s="7">
        <f t="shared" si="21"/>
        <v>6.2084310914429328E-2</v>
      </c>
    </row>
    <row r="70" spans="1:26" s="24" customFormat="1" hidden="1" outlineLevel="2" x14ac:dyDescent="0.3">
      <c r="A70" s="29"/>
      <c r="B70" s="11" t="str">
        <f>CONCATENATE("          ", "6115", " - ", "P.E.R.S.")</f>
        <v xml:space="preserve">          6115 - P.E.R.S.</v>
      </c>
      <c r="C70" s="11"/>
      <c r="D70" s="6">
        <v>14175.76</v>
      </c>
      <c r="E70" s="2"/>
      <c r="F70" s="7">
        <f t="shared" si="14"/>
        <v>8.3485797415526648E-3</v>
      </c>
      <c r="G70" s="2"/>
      <c r="H70" s="6">
        <v>11573.4108958</v>
      </c>
      <c r="I70" s="2"/>
      <c r="J70" s="7">
        <f t="shared" si="15"/>
        <v>7.6738970752967366E-3</v>
      </c>
      <c r="K70" s="2"/>
      <c r="L70" s="6">
        <f t="shared" si="16"/>
        <v>2602.3491042000005</v>
      </c>
      <c r="M70" s="2"/>
      <c r="N70" s="7">
        <f t="shared" si="17"/>
        <v>0.22485584652873555</v>
      </c>
      <c r="O70" s="11"/>
      <c r="P70" s="6">
        <v>93584.49</v>
      </c>
      <c r="Q70" s="2"/>
      <c r="R70" s="7">
        <f t="shared" si="18"/>
        <v>8.2267786080427296E-3</v>
      </c>
      <c r="S70" s="2"/>
      <c r="T70" s="6">
        <v>77044.764284238496</v>
      </c>
      <c r="U70" s="2"/>
      <c r="V70" s="7">
        <f t="shared" si="19"/>
        <v>6.5982495409377482E-3</v>
      </c>
      <c r="W70" s="2"/>
      <c r="X70" s="6">
        <f t="shared" si="20"/>
        <v>16539.725715761509</v>
      </c>
      <c r="Y70" s="2"/>
      <c r="Z70" s="7">
        <f t="shared" si="21"/>
        <v>0.21467682936561516</v>
      </c>
    </row>
    <row r="71" spans="1:26" s="24" customFormat="1" hidden="1" outlineLevel="2" x14ac:dyDescent="0.3">
      <c r="A71" s="29"/>
      <c r="B71" s="11" t="str">
        <f>CONCATENATE("          ", "6116", " - ", "EDUCATIONAL BENEFITS")</f>
        <v xml:space="preserve">          6116 - EDUCATIONAL BENEFITS</v>
      </c>
      <c r="C71" s="11"/>
      <c r="D71" s="6"/>
      <c r="E71" s="2"/>
      <c r="F71" s="7">
        <f t="shared" si="14"/>
        <v>0</v>
      </c>
      <c r="G71" s="2"/>
      <c r="H71" s="6">
        <v>0</v>
      </c>
      <c r="I71" s="2"/>
      <c r="J71" s="7">
        <f t="shared" si="15"/>
        <v>0</v>
      </c>
      <c r="K71" s="2"/>
      <c r="L71" s="6">
        <f t="shared" si="16"/>
        <v>0</v>
      </c>
      <c r="M71" s="2"/>
      <c r="N71" s="7">
        <f t="shared" si="17"/>
        <v>0</v>
      </c>
      <c r="O71" s="11"/>
      <c r="P71" s="6"/>
      <c r="Q71" s="2"/>
      <c r="R71" s="7">
        <f t="shared" si="18"/>
        <v>0</v>
      </c>
      <c r="S71" s="2"/>
      <c r="T71" s="6">
        <v>0</v>
      </c>
      <c r="U71" s="2"/>
      <c r="V71" s="7">
        <f t="shared" si="19"/>
        <v>0</v>
      </c>
      <c r="W71" s="2"/>
      <c r="X71" s="6">
        <f t="shared" si="20"/>
        <v>0</v>
      </c>
      <c r="Y71" s="2"/>
      <c r="Z71" s="7">
        <f t="shared" si="21"/>
        <v>0</v>
      </c>
    </row>
    <row r="72" spans="1:26" s="24" customFormat="1" hidden="1" outlineLevel="2" x14ac:dyDescent="0.3">
      <c r="A72" s="29"/>
      <c r="B72" s="11" t="str">
        <f>CONCATENATE("          ", "6117", " - ", "RETIREMENT STAFF HOURLY")</f>
        <v xml:space="preserve">          6117 - RETIREMENT STAFF HOURLY</v>
      </c>
      <c r="C72" s="11"/>
      <c r="D72" s="6">
        <v>2364.52</v>
      </c>
      <c r="E72" s="2"/>
      <c r="F72" s="7">
        <f t="shared" si="14"/>
        <v>1.3925450043240084E-3</v>
      </c>
      <c r="G72" s="2"/>
      <c r="H72" s="6"/>
      <c r="I72" s="2"/>
      <c r="J72" s="7">
        <f t="shared" si="15"/>
        <v>0</v>
      </c>
      <c r="K72" s="2"/>
      <c r="L72" s="6">
        <f t="shared" si="16"/>
        <v>2364.52</v>
      </c>
      <c r="M72" s="2"/>
      <c r="N72" s="7">
        <f t="shared" si="17"/>
        <v>0</v>
      </c>
      <c r="O72" s="11"/>
      <c r="P72" s="6">
        <v>13436.45</v>
      </c>
      <c r="Q72" s="2"/>
      <c r="R72" s="7">
        <f t="shared" si="18"/>
        <v>1.1811647360373044E-3</v>
      </c>
      <c r="S72" s="2"/>
      <c r="T72" s="6"/>
      <c r="U72" s="2"/>
      <c r="V72" s="7">
        <f t="shared" si="19"/>
        <v>0</v>
      </c>
      <c r="W72" s="2"/>
      <c r="X72" s="6">
        <f t="shared" si="20"/>
        <v>13436.45</v>
      </c>
      <c r="Y72" s="2"/>
      <c r="Z72" s="7">
        <f t="shared" si="21"/>
        <v>0</v>
      </c>
    </row>
    <row r="73" spans="1:26" s="24" customFormat="1" hidden="1" outlineLevel="2" x14ac:dyDescent="0.3">
      <c r="A73" s="29"/>
      <c r="B73" s="11" t="str">
        <f>CONCATENATE("          ", "6118", " - ", "VACATION")</f>
        <v xml:space="preserve">          6118 - VACATION</v>
      </c>
      <c r="C73" s="11"/>
      <c r="D73" s="6">
        <v>16766.78</v>
      </c>
      <c r="E73" s="2"/>
      <c r="F73" s="7">
        <f t="shared" si="14"/>
        <v>9.874518180264788E-3</v>
      </c>
      <c r="G73" s="2"/>
      <c r="H73" s="6">
        <v>12247.595646207699</v>
      </c>
      <c r="I73" s="2"/>
      <c r="J73" s="7">
        <f t="shared" si="15"/>
        <v>8.1209238361145721E-3</v>
      </c>
      <c r="K73" s="2"/>
      <c r="L73" s="6">
        <f t="shared" si="16"/>
        <v>4519.1843537922996</v>
      </c>
      <c r="M73" s="2"/>
      <c r="N73" s="7">
        <f t="shared" si="17"/>
        <v>0.36898543063769446</v>
      </c>
      <c r="O73" s="11"/>
      <c r="P73" s="6">
        <v>102433.16</v>
      </c>
      <c r="Q73" s="2"/>
      <c r="R73" s="7">
        <f t="shared" si="18"/>
        <v>9.0046430711137951E-3</v>
      </c>
      <c r="S73" s="2"/>
      <c r="T73" s="6">
        <v>82235.377125580693</v>
      </c>
      <c r="U73" s="2"/>
      <c r="V73" s="7">
        <f t="shared" si="19"/>
        <v>7.0427827823040046E-3</v>
      </c>
      <c r="W73" s="2"/>
      <c r="X73" s="6">
        <f t="shared" si="20"/>
        <v>20197.78287441931</v>
      </c>
      <c r="Y73" s="2"/>
      <c r="Z73" s="7">
        <f t="shared" si="21"/>
        <v>0.24560941507662218</v>
      </c>
    </row>
    <row r="74" spans="1:26" s="24" customFormat="1" hidden="1" outlineLevel="2" x14ac:dyDescent="0.3">
      <c r="A74" s="29"/>
      <c r="B74" s="11" t="str">
        <f>CONCATENATE("          ", "6119", " - ", "SICK LEAVE")</f>
        <v xml:space="preserve">          6119 - SICK LEAVE</v>
      </c>
      <c r="C74" s="11"/>
      <c r="D74" s="6">
        <v>12175.46</v>
      </c>
      <c r="E74" s="2"/>
      <c r="F74" s="7">
        <f t="shared" si="14"/>
        <v>7.1705360911926272E-3</v>
      </c>
      <c r="G74" s="2"/>
      <c r="H74" s="6">
        <v>16484.309695953802</v>
      </c>
      <c r="I74" s="2"/>
      <c r="J74" s="7">
        <f t="shared" si="15"/>
        <v>1.0930130892524698E-2</v>
      </c>
      <c r="K74" s="2"/>
      <c r="L74" s="6">
        <f t="shared" si="16"/>
        <v>-4308.8496959538024</v>
      </c>
      <c r="M74" s="2"/>
      <c r="N74" s="7">
        <f t="shared" si="17"/>
        <v>-0.26139096968139602</v>
      </c>
      <c r="O74" s="11"/>
      <c r="P74" s="6">
        <v>72972.92</v>
      </c>
      <c r="Q74" s="2"/>
      <c r="R74" s="7">
        <f t="shared" si="18"/>
        <v>6.414867006513723E-3</v>
      </c>
      <c r="S74" s="2"/>
      <c r="T74" s="6">
        <v>104748.024637315</v>
      </c>
      <c r="U74" s="2"/>
      <c r="V74" s="7">
        <f t="shared" si="19"/>
        <v>8.9708056335593596E-3</v>
      </c>
      <c r="W74" s="2"/>
      <c r="X74" s="6">
        <f t="shared" si="20"/>
        <v>-31775.104637315002</v>
      </c>
      <c r="Y74" s="2"/>
      <c r="Z74" s="7">
        <f t="shared" si="21"/>
        <v>-0.30334800820669194</v>
      </c>
    </row>
    <row r="75" spans="1:26" s="24" customFormat="1" hidden="1" outlineLevel="2" x14ac:dyDescent="0.3">
      <c r="A75" s="29"/>
      <c r="B75" s="11" t="str">
        <f>CONCATENATE("          ", "6156", " - ", "EMPLOYEE MEALS")</f>
        <v xml:space="preserve">          6156 - EMPLOYEE MEALS</v>
      </c>
      <c r="C75" s="11"/>
      <c r="D75" s="6">
        <v>8083.19</v>
      </c>
      <c r="E75" s="2"/>
      <c r="F75" s="7">
        <f t="shared" si="14"/>
        <v>4.7604612578881897E-3</v>
      </c>
      <c r="G75" s="2"/>
      <c r="H75" s="6">
        <v>8850</v>
      </c>
      <c r="I75" s="2"/>
      <c r="J75" s="7">
        <f t="shared" si="15"/>
        <v>5.8681048938668693E-3</v>
      </c>
      <c r="K75" s="2"/>
      <c r="L75" s="6">
        <f t="shared" si="16"/>
        <v>-766.8100000000004</v>
      </c>
      <c r="M75" s="2"/>
      <c r="N75" s="7">
        <f t="shared" si="17"/>
        <v>-8.6645197740113034E-2</v>
      </c>
      <c r="O75" s="11"/>
      <c r="P75" s="6">
        <v>46402.31</v>
      </c>
      <c r="Q75" s="2"/>
      <c r="R75" s="7">
        <f t="shared" si="18"/>
        <v>4.0791110927864997E-3</v>
      </c>
      <c r="S75" s="2"/>
      <c r="T75" s="6">
        <v>54023</v>
      </c>
      <c r="U75" s="2"/>
      <c r="V75" s="7">
        <f t="shared" si="19"/>
        <v>4.62662503106655E-3</v>
      </c>
      <c r="W75" s="2"/>
      <c r="X75" s="6">
        <f t="shared" si="20"/>
        <v>-7620.6900000000023</v>
      </c>
      <c r="Y75" s="2"/>
      <c r="Z75" s="7">
        <f t="shared" si="21"/>
        <v>-0.14106380615663702</v>
      </c>
    </row>
    <row r="76" spans="1:26" s="28" customFormat="1" outlineLevel="1" collapsed="1" x14ac:dyDescent="0.3">
      <c r="A76" s="27"/>
      <c r="B76" s="14" t="str">
        <f>CONCATENATE("     ","*Payroll                                          ")</f>
        <v xml:space="preserve">     *Payroll                                          </v>
      </c>
      <c r="C76" s="14"/>
      <c r="D76" s="1">
        <f>SUM(OSRRefD22_1x_0)</f>
        <v>485371.56</v>
      </c>
      <c r="E76" s="1"/>
      <c r="F76" s="5">
        <f t="shared" ref="F76:F86" si="22">IF(D$12=0,0,D76/D$12)</f>
        <v>0.28585156442700876</v>
      </c>
      <c r="G76" s="1"/>
      <c r="H76" s="1">
        <f>SUM(OSRRefH22_1x_0)</f>
        <v>499865.4108406381</v>
      </c>
      <c r="I76" s="1"/>
      <c r="J76" s="5">
        <f t="shared" ref="J76:J86" si="23">IF(H$12=0,0,H76/H$12)</f>
        <v>0.33144210888460129</v>
      </c>
      <c r="K76" s="1"/>
      <c r="L76" s="1">
        <f t="shared" ref="L76:L86" si="24">+D76-H76</f>
        <v>-14493.850840638101</v>
      </c>
      <c r="M76" s="1"/>
      <c r="N76" s="5">
        <f t="shared" ref="N76:N86" si="25">IF(H76=0,0,L76/H76)</f>
        <v>-2.899550664300491E-2</v>
      </c>
      <c r="O76" s="14"/>
      <c r="P76" s="1">
        <f>SUM(OSRRefP22_1x_0)</f>
        <v>2855216.45</v>
      </c>
      <c r="Q76" s="1"/>
      <c r="R76" s="5">
        <f t="shared" ref="R76:R86" si="26">IF(P$12=0,0,P76/P$12)</f>
        <v>0.25099494170659803</v>
      </c>
      <c r="S76" s="1"/>
      <c r="T76" s="1">
        <f>SUM(OSRRefT22_1x_0)</f>
        <v>3169193.4069426111</v>
      </c>
      <c r="U76" s="1"/>
      <c r="V76" s="5">
        <f t="shared" ref="V76:V86" si="27">IF(T$12=0,0,T76/T$12)</f>
        <v>0.27141531467804014</v>
      </c>
      <c r="W76" s="1"/>
      <c r="X76" s="1">
        <f t="shared" ref="X76:X86" si="28">+P76-T76</f>
        <v>-313976.95694261091</v>
      </c>
      <c r="Y76" s="1"/>
      <c r="Z76" s="5">
        <f t="shared" ref="Z76:Z86" si="29">IF(T76=0,0,X76/T76)</f>
        <v>-9.9071566997077407E-2</v>
      </c>
    </row>
    <row r="77" spans="1:26" s="24" customFormat="1" hidden="1" outlineLevel="2" x14ac:dyDescent="0.3">
      <c r="A77" s="29"/>
      <c r="B77" s="11" t="str">
        <f>CONCATENATE("          ", "6001", " - ", "ADMINISTRATIVE SALARIES")</f>
        <v xml:space="preserve">          6001 - ADMINISTRATIVE SALARIES</v>
      </c>
      <c r="C77" s="11"/>
      <c r="D77" s="6">
        <v>29105</v>
      </c>
      <c r="E77" s="2"/>
      <c r="F77" s="7">
        <f t="shared" si="22"/>
        <v>1.7140909085501609E-2</v>
      </c>
      <c r="G77" s="2"/>
      <c r="H77" s="6">
        <v>18547.9230769231</v>
      </c>
      <c r="I77" s="2"/>
      <c r="J77" s="7">
        <f t="shared" si="23"/>
        <v>1.229843595240211E-2</v>
      </c>
      <c r="K77" s="2"/>
      <c r="L77" s="6">
        <f t="shared" si="24"/>
        <v>10557.0769230769</v>
      </c>
      <c r="M77" s="2"/>
      <c r="N77" s="7">
        <f t="shared" si="25"/>
        <v>0.56917838613487526</v>
      </c>
      <c r="O77" s="11"/>
      <c r="P77" s="6">
        <v>176285.53</v>
      </c>
      <c r="Q77" s="2"/>
      <c r="R77" s="7">
        <f t="shared" si="26"/>
        <v>1.5496820329004036E-2</v>
      </c>
      <c r="S77" s="2"/>
      <c r="T77" s="6">
        <v>120561.5</v>
      </c>
      <c r="U77" s="2"/>
      <c r="V77" s="7">
        <f t="shared" si="27"/>
        <v>1.032509956283305E-2</v>
      </c>
      <c r="W77" s="2"/>
      <c r="X77" s="6">
        <f t="shared" si="28"/>
        <v>55724.03</v>
      </c>
      <c r="Y77" s="2"/>
      <c r="Z77" s="7">
        <f t="shared" si="29"/>
        <v>0.46220418624519433</v>
      </c>
    </row>
    <row r="78" spans="1:26" s="24" customFormat="1" hidden="1" outlineLevel="2" x14ac:dyDescent="0.3">
      <c r="A78" s="29"/>
      <c r="B78" s="11" t="str">
        <f>CONCATENATE("          ", "6002", " - ", "STAFF SALARIES")</f>
        <v xml:space="preserve">          6002 - STAFF SALARIES</v>
      </c>
      <c r="C78" s="11"/>
      <c r="D78" s="6">
        <v>113478.97</v>
      </c>
      <c r="E78" s="2"/>
      <c r="F78" s="7">
        <f t="shared" si="22"/>
        <v>6.6831565294154432E-2</v>
      </c>
      <c r="G78" s="2"/>
      <c r="H78" s="6">
        <v>105462.71511571499</v>
      </c>
      <c r="I78" s="2"/>
      <c r="J78" s="7">
        <f t="shared" si="23"/>
        <v>6.9928392620453625E-2</v>
      </c>
      <c r="K78" s="2"/>
      <c r="L78" s="6">
        <f t="shared" si="24"/>
        <v>8016.2548842850083</v>
      </c>
      <c r="M78" s="2"/>
      <c r="N78" s="7">
        <f t="shared" si="25"/>
        <v>7.6010321519690394E-2</v>
      </c>
      <c r="O78" s="11"/>
      <c r="P78" s="6">
        <v>724442.39</v>
      </c>
      <c r="Q78" s="2"/>
      <c r="R78" s="7">
        <f t="shared" si="26"/>
        <v>6.3683919812047365E-2</v>
      </c>
      <c r="S78" s="2"/>
      <c r="T78" s="6">
        <v>703472.23479061096</v>
      </c>
      <c r="U78" s="2"/>
      <c r="V78" s="7">
        <f t="shared" si="27"/>
        <v>6.0246603301234027E-2</v>
      </c>
      <c r="W78" s="2"/>
      <c r="X78" s="6">
        <f t="shared" si="28"/>
        <v>20970.15520938905</v>
      </c>
      <c r="Y78" s="2"/>
      <c r="Z78" s="7">
        <f t="shared" si="29"/>
        <v>2.9809499468917679E-2</v>
      </c>
    </row>
    <row r="79" spans="1:26" s="24" customFormat="1" hidden="1" outlineLevel="2" x14ac:dyDescent="0.3">
      <c r="A79" s="29"/>
      <c r="B79" s="11" t="str">
        <f>CONCATENATE("          ", "6003", " - ", "STAFF HOURLY-9 MONTH")</f>
        <v xml:space="preserve">          6003 - STAFF HOURLY-9 MONTH</v>
      </c>
      <c r="C79" s="11"/>
      <c r="D79" s="6"/>
      <c r="E79" s="2"/>
      <c r="F79" s="7">
        <f t="shared" si="22"/>
        <v>0</v>
      </c>
      <c r="G79" s="2"/>
      <c r="H79" s="6">
        <v>0</v>
      </c>
      <c r="I79" s="2"/>
      <c r="J79" s="7">
        <f t="shared" si="23"/>
        <v>0</v>
      </c>
      <c r="K79" s="2"/>
      <c r="L79" s="6">
        <f t="shared" si="24"/>
        <v>0</v>
      </c>
      <c r="M79" s="2"/>
      <c r="N79" s="7">
        <f t="shared" si="25"/>
        <v>0</v>
      </c>
      <c r="O79" s="11"/>
      <c r="P79" s="6"/>
      <c r="Q79" s="2"/>
      <c r="R79" s="7">
        <f t="shared" si="26"/>
        <v>0</v>
      </c>
      <c r="S79" s="2"/>
      <c r="T79" s="6">
        <v>0</v>
      </c>
      <c r="U79" s="2"/>
      <c r="V79" s="7">
        <f t="shared" si="27"/>
        <v>0</v>
      </c>
      <c r="W79" s="2"/>
      <c r="X79" s="6">
        <f t="shared" si="28"/>
        <v>0</v>
      </c>
      <c r="Y79" s="2"/>
      <c r="Z79" s="7">
        <f t="shared" si="29"/>
        <v>0</v>
      </c>
    </row>
    <row r="80" spans="1:26" s="24" customFormat="1" hidden="1" outlineLevel="2" x14ac:dyDescent="0.3">
      <c r="A80" s="29"/>
      <c r="B80" s="11" t="str">
        <f>CONCATENATE("          ", "6004", " - ", "STAFF HOURLY")</f>
        <v xml:space="preserve">          6004 - STAFF HOURLY</v>
      </c>
      <c r="C80" s="11"/>
      <c r="D80" s="6">
        <v>105744.75</v>
      </c>
      <c r="E80" s="2"/>
      <c r="F80" s="7">
        <f t="shared" si="22"/>
        <v>6.2276624154581559E-2</v>
      </c>
      <c r="G80" s="2"/>
      <c r="H80" s="6">
        <v>151829.23764800001</v>
      </c>
      <c r="I80" s="2"/>
      <c r="J80" s="7">
        <f t="shared" si="23"/>
        <v>0.10067230423438471</v>
      </c>
      <c r="K80" s="2"/>
      <c r="L80" s="6">
        <f t="shared" si="24"/>
        <v>-46084.487648000009</v>
      </c>
      <c r="M80" s="2"/>
      <c r="N80" s="7">
        <f t="shared" si="25"/>
        <v>-0.30352841364350397</v>
      </c>
      <c r="O80" s="11"/>
      <c r="P80" s="6">
        <v>679208.73</v>
      </c>
      <c r="Q80" s="2"/>
      <c r="R80" s="7">
        <f t="shared" si="26"/>
        <v>5.9707541819802298E-2</v>
      </c>
      <c r="S80" s="2"/>
      <c r="T80" s="6">
        <v>979219.94215200003</v>
      </c>
      <c r="U80" s="2"/>
      <c r="V80" s="7">
        <f t="shared" si="27"/>
        <v>8.3862123452603202E-2</v>
      </c>
      <c r="W80" s="2"/>
      <c r="X80" s="6">
        <f t="shared" si="28"/>
        <v>-300011.21215200005</v>
      </c>
      <c r="Y80" s="2"/>
      <c r="Z80" s="7">
        <f t="shared" si="29"/>
        <v>-0.30637775972237158</v>
      </c>
    </row>
    <row r="81" spans="1:26" s="24" customFormat="1" hidden="1" outlineLevel="2" x14ac:dyDescent="0.3">
      <c r="A81" s="29"/>
      <c r="B81" s="11" t="str">
        <f>CONCATENATE("          ", "6005", " - ", "TEMPORARY WAGES-HOURLY")</f>
        <v xml:space="preserve">          6005 - TEMPORARY WAGES-HOURLY</v>
      </c>
      <c r="C81" s="11"/>
      <c r="D81" s="6">
        <v>71377.84</v>
      </c>
      <c r="E81" s="2"/>
      <c r="F81" s="7">
        <f t="shared" si="22"/>
        <v>4.203680007419619E-2</v>
      </c>
      <c r="G81" s="2"/>
      <c r="H81" s="6">
        <v>33127.764999999999</v>
      </c>
      <c r="I81" s="2"/>
      <c r="J81" s="7">
        <f t="shared" si="23"/>
        <v>2.1965785301623908E-2</v>
      </c>
      <c r="K81" s="2"/>
      <c r="L81" s="6">
        <f t="shared" si="24"/>
        <v>38250.074999999997</v>
      </c>
      <c r="M81" s="2"/>
      <c r="N81" s="7">
        <f t="shared" si="25"/>
        <v>1.1546228669516341</v>
      </c>
      <c r="O81" s="11"/>
      <c r="P81" s="6">
        <v>421389.34</v>
      </c>
      <c r="Q81" s="2"/>
      <c r="R81" s="7">
        <f t="shared" si="26"/>
        <v>3.7043283646352565E-2</v>
      </c>
      <c r="S81" s="2"/>
      <c r="T81" s="6">
        <v>195136.185</v>
      </c>
      <c r="U81" s="2"/>
      <c r="V81" s="7">
        <f t="shared" si="27"/>
        <v>1.6711807155986025E-2</v>
      </c>
      <c r="W81" s="2"/>
      <c r="X81" s="6">
        <f t="shared" si="28"/>
        <v>226253.15500000003</v>
      </c>
      <c r="Y81" s="2"/>
      <c r="Z81" s="7">
        <f t="shared" si="29"/>
        <v>1.1594628387349073</v>
      </c>
    </row>
    <row r="82" spans="1:26" s="24" customFormat="1" hidden="1" outlineLevel="2" x14ac:dyDescent="0.3">
      <c r="A82" s="29"/>
      <c r="B82" s="11" t="str">
        <f>CONCATENATE("          ", "6006", " - ", "TEMPORARY PART TIME")</f>
        <v xml:space="preserve">          6006 - TEMPORARY PART TIME</v>
      </c>
      <c r="C82" s="11"/>
      <c r="D82" s="6"/>
      <c r="E82" s="2"/>
      <c r="F82" s="7">
        <f t="shared" si="22"/>
        <v>0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0</v>
      </c>
      <c r="M82" s="2"/>
      <c r="N82" s="7">
        <f t="shared" si="25"/>
        <v>0</v>
      </c>
      <c r="O82" s="11"/>
      <c r="P82" s="6">
        <v>9877.6200000000008</v>
      </c>
      <c r="Q82" s="2"/>
      <c r="R82" s="7">
        <f t="shared" si="26"/>
        <v>8.6831688578283689E-4</v>
      </c>
      <c r="S82" s="2"/>
      <c r="T82" s="6">
        <v>0</v>
      </c>
      <c r="U82" s="2"/>
      <c r="V82" s="7">
        <f t="shared" si="27"/>
        <v>0</v>
      </c>
      <c r="W82" s="2"/>
      <c r="X82" s="6">
        <f t="shared" si="28"/>
        <v>9877.6200000000008</v>
      </c>
      <c r="Y82" s="2"/>
      <c r="Z82" s="7">
        <f t="shared" si="29"/>
        <v>0</v>
      </c>
    </row>
    <row r="83" spans="1:26" s="24" customFormat="1" hidden="1" outlineLevel="2" x14ac:dyDescent="0.3">
      <c r="A83" s="29"/>
      <c r="B83" s="11" t="str">
        <f>CONCATENATE("          ", "6007", " - ", "STUDENT HOURLY")</f>
        <v xml:space="preserve">          6007 - STUDENT HOURLY</v>
      </c>
      <c r="C83" s="11"/>
      <c r="D83" s="6">
        <v>126942.64</v>
      </c>
      <c r="E83" s="2"/>
      <c r="F83" s="7">
        <f t="shared" si="22"/>
        <v>7.4760771390261466E-2</v>
      </c>
      <c r="G83" s="2"/>
      <c r="H83" s="6">
        <v>28928.31</v>
      </c>
      <c r="I83" s="2"/>
      <c r="J83" s="7">
        <f t="shared" si="23"/>
        <v>1.9181283331333097E-2</v>
      </c>
      <c r="K83" s="2"/>
      <c r="L83" s="6">
        <f t="shared" si="24"/>
        <v>98014.33</v>
      </c>
      <c r="M83" s="2"/>
      <c r="N83" s="7">
        <f t="shared" si="25"/>
        <v>3.3881802981231881</v>
      </c>
      <c r="O83" s="11"/>
      <c r="P83" s="6">
        <v>705010.64</v>
      </c>
      <c r="Q83" s="2"/>
      <c r="R83" s="7">
        <f t="shared" si="26"/>
        <v>6.1975723237841167E-2</v>
      </c>
      <c r="S83" s="2"/>
      <c r="T83" s="6">
        <v>305303.74</v>
      </c>
      <c r="U83" s="2"/>
      <c r="V83" s="7">
        <f t="shared" si="27"/>
        <v>2.6146750931311365E-2</v>
      </c>
      <c r="W83" s="2"/>
      <c r="X83" s="6">
        <f t="shared" si="28"/>
        <v>399706.9</v>
      </c>
      <c r="Y83" s="2"/>
      <c r="Z83" s="7">
        <f t="shared" si="29"/>
        <v>1.3092106241476114</v>
      </c>
    </row>
    <row r="84" spans="1:26" s="24" customFormat="1" hidden="1" outlineLevel="2" x14ac:dyDescent="0.3">
      <c r="A84" s="29"/>
      <c r="B84" s="11" t="str">
        <f>CONCATENATE("          ", "6008", " - ", "STUDENT HOURLY-FICA EXEMPT")</f>
        <v xml:space="preserve">          6008 - STUDENT HOURLY-FICA EXEMPT</v>
      </c>
      <c r="C84" s="11"/>
      <c r="D84" s="6">
        <v>38722.36</v>
      </c>
      <c r="E84" s="2"/>
      <c r="F84" s="7">
        <f t="shared" si="22"/>
        <v>2.2804894428313488E-2</v>
      </c>
      <c r="G84" s="2"/>
      <c r="H84" s="6">
        <v>161969.46</v>
      </c>
      <c r="I84" s="2"/>
      <c r="J84" s="7">
        <f t="shared" si="23"/>
        <v>0.10739590744440385</v>
      </c>
      <c r="K84" s="2"/>
      <c r="L84" s="6">
        <f t="shared" si="24"/>
        <v>-123247.09999999999</v>
      </c>
      <c r="M84" s="2"/>
      <c r="N84" s="7">
        <f t="shared" si="25"/>
        <v>-0.76092801692368428</v>
      </c>
      <c r="O84" s="11"/>
      <c r="P84" s="6">
        <v>139002.20000000001</v>
      </c>
      <c r="Q84" s="2"/>
      <c r="R84" s="7">
        <f t="shared" si="26"/>
        <v>1.2219335975767751E-2</v>
      </c>
      <c r="S84" s="2"/>
      <c r="T84" s="6">
        <v>865499.80500000005</v>
      </c>
      <c r="U84" s="2"/>
      <c r="V84" s="7">
        <f t="shared" si="27"/>
        <v>7.412293027407249E-2</v>
      </c>
      <c r="W84" s="2"/>
      <c r="X84" s="6">
        <f t="shared" si="28"/>
        <v>-726497.60499999998</v>
      </c>
      <c r="Y84" s="2"/>
      <c r="Z84" s="7">
        <f t="shared" si="29"/>
        <v>-0.8393966131511722</v>
      </c>
    </row>
    <row r="85" spans="1:26" s="24" customFormat="1" hidden="1" outlineLevel="2" x14ac:dyDescent="0.3">
      <c r="A85" s="29"/>
      <c r="B85" s="11" t="str">
        <f>CONCATENATE("          ", "6009", " - ", "TEMPORARY-SEASONAL")</f>
        <v xml:space="preserve">          6009 - TEMPORARY-SEASONAL</v>
      </c>
      <c r="C85" s="11"/>
      <c r="D85" s="6"/>
      <c r="E85" s="2"/>
      <c r="F85" s="7">
        <f t="shared" si="22"/>
        <v>0</v>
      </c>
      <c r="G85" s="2"/>
      <c r="H85" s="6">
        <v>0</v>
      </c>
      <c r="I85" s="2"/>
      <c r="J85" s="7">
        <f t="shared" si="23"/>
        <v>0</v>
      </c>
      <c r="K85" s="2"/>
      <c r="L85" s="6">
        <f t="shared" si="24"/>
        <v>0</v>
      </c>
      <c r="M85" s="2"/>
      <c r="N85" s="7">
        <f t="shared" si="25"/>
        <v>0</v>
      </c>
      <c r="O85" s="11"/>
      <c r="P85" s="6"/>
      <c r="Q85" s="2"/>
      <c r="R85" s="7">
        <f t="shared" si="26"/>
        <v>0</v>
      </c>
      <c r="S85" s="2"/>
      <c r="T85" s="6">
        <v>0</v>
      </c>
      <c r="U85" s="2"/>
      <c r="V85" s="7">
        <f t="shared" si="27"/>
        <v>0</v>
      </c>
      <c r="W85" s="2"/>
      <c r="X85" s="6">
        <f t="shared" si="28"/>
        <v>0</v>
      </c>
      <c r="Y85" s="2"/>
      <c r="Z85" s="7">
        <f t="shared" si="29"/>
        <v>0</v>
      </c>
    </row>
    <row r="86" spans="1:26" s="24" customFormat="1" hidden="1" outlineLevel="2" x14ac:dyDescent="0.3">
      <c r="A86" s="29"/>
      <c r="B86" s="11" t="str">
        <f>CONCATENATE("          ", "6010", " - ", "GRATUITY")</f>
        <v xml:space="preserve">          6010 - GRATUITY</v>
      </c>
      <c r="C86" s="11"/>
      <c r="D86" s="6"/>
      <c r="E86" s="2"/>
      <c r="F86" s="7">
        <f t="shared" si="22"/>
        <v>0</v>
      </c>
      <c r="G86" s="2"/>
      <c r="H86" s="6">
        <v>0</v>
      </c>
      <c r="I86" s="2"/>
      <c r="J86" s="7">
        <f t="shared" si="23"/>
        <v>0</v>
      </c>
      <c r="K86" s="2"/>
      <c r="L86" s="6">
        <f t="shared" si="24"/>
        <v>0</v>
      </c>
      <c r="M86" s="2"/>
      <c r="N86" s="7">
        <f t="shared" si="25"/>
        <v>0</v>
      </c>
      <c r="O86" s="11"/>
      <c r="P86" s="6"/>
      <c r="Q86" s="2"/>
      <c r="R86" s="7">
        <f t="shared" si="26"/>
        <v>0</v>
      </c>
      <c r="S86" s="2"/>
      <c r="T86" s="6">
        <v>0</v>
      </c>
      <c r="U86" s="2"/>
      <c r="V86" s="7">
        <f t="shared" si="27"/>
        <v>0</v>
      </c>
      <c r="W86" s="2"/>
      <c r="X86" s="6">
        <f t="shared" si="28"/>
        <v>0</v>
      </c>
      <c r="Y86" s="2"/>
      <c r="Z86" s="7">
        <f t="shared" si="29"/>
        <v>0</v>
      </c>
    </row>
    <row r="87" spans="1:26" s="28" customFormat="1" outlineLevel="1" collapsed="1" x14ac:dyDescent="0.3">
      <c r="A87" s="27"/>
      <c r="B87" s="14" t="str">
        <f>CONCATENATE("     ","Advertising/Promo                                 ")</f>
        <v xml:space="preserve">     Advertising/Promo                                 </v>
      </c>
      <c r="C87" s="14"/>
      <c r="D87" s="1">
        <f>SUM(OSRRefD22_2x_0)</f>
        <v>969.95</v>
      </c>
      <c r="E87" s="1"/>
      <c r="F87" s="5">
        <f t="shared" ref="F87:F95" si="30">IF(D$12=0,0,D87/D$12)</f>
        <v>5.7123603392826962E-4</v>
      </c>
      <c r="G87" s="1"/>
      <c r="H87" s="1">
        <f>SUM(OSRRefH22_2x_0)</f>
        <v>2019</v>
      </c>
      <c r="I87" s="1"/>
      <c r="J87" s="5">
        <f t="shared" ref="J87:J95" si="31">IF(H$12=0,0,H87/H$12)</f>
        <v>1.3387235910414924E-3</v>
      </c>
      <c r="K87" s="1"/>
      <c r="L87" s="1">
        <f t="shared" ref="L87:L95" si="32">+D87-H87</f>
        <v>-1049.05</v>
      </c>
      <c r="M87" s="1"/>
      <c r="N87" s="5">
        <f t="shared" ref="N87:N95" si="33">IF(H87=0,0,L87/H87)</f>
        <v>-0.51958890539871216</v>
      </c>
      <c r="O87" s="14"/>
      <c r="P87" s="1">
        <f>SUM(OSRRefP22_2x_0)</f>
        <v>9987.66</v>
      </c>
      <c r="Q87" s="1"/>
      <c r="R87" s="5">
        <f t="shared" ref="R87:R95" si="34">IF(P$12=0,0,P87/P$12)</f>
        <v>8.779902271455884E-4</v>
      </c>
      <c r="S87" s="1"/>
      <c r="T87" s="1">
        <f>SUM(OSRRefT22_2x_0)</f>
        <v>14614</v>
      </c>
      <c r="U87" s="1"/>
      <c r="V87" s="5">
        <f t="shared" ref="V87:V95" si="35">IF(T$12=0,0,T87/T$12)</f>
        <v>1.2515687430169847E-3</v>
      </c>
      <c r="W87" s="1"/>
      <c r="X87" s="1">
        <f t="shared" ref="X87:X95" si="36">+P87-T87</f>
        <v>-4626.34</v>
      </c>
      <c r="Y87" s="1"/>
      <c r="Z87" s="5">
        <f t="shared" ref="Z87:Z95" si="37">IF(T87=0,0,X87/T87)</f>
        <v>-0.31656904338305736</v>
      </c>
    </row>
    <row r="88" spans="1:26" s="24" customFormat="1" hidden="1" outlineLevel="2" x14ac:dyDescent="0.3">
      <c r="A88" s="29"/>
      <c r="B88" s="11" t="str">
        <f>CONCATENATE("          ", "6362", " - ", "ADVERTISING EXPENSE")</f>
        <v xml:space="preserve">          6362 - ADVERTISING EXPENSE</v>
      </c>
      <c r="C88" s="11"/>
      <c r="D88" s="6">
        <v>969.95</v>
      </c>
      <c r="E88" s="2"/>
      <c r="F88" s="7">
        <f t="shared" si="30"/>
        <v>5.7123603392826962E-4</v>
      </c>
      <c r="G88" s="2"/>
      <c r="H88" s="6">
        <v>2019</v>
      </c>
      <c r="I88" s="2"/>
      <c r="J88" s="7">
        <f t="shared" si="31"/>
        <v>1.3387235910414924E-3</v>
      </c>
      <c r="K88" s="2"/>
      <c r="L88" s="6">
        <f t="shared" si="32"/>
        <v>-1049.05</v>
      </c>
      <c r="M88" s="2"/>
      <c r="N88" s="7">
        <f t="shared" si="33"/>
        <v>-0.51958890539871216</v>
      </c>
      <c r="O88" s="11"/>
      <c r="P88" s="6">
        <v>9987.66</v>
      </c>
      <c r="Q88" s="2"/>
      <c r="R88" s="7">
        <f t="shared" si="34"/>
        <v>8.779902271455884E-4</v>
      </c>
      <c r="S88" s="2"/>
      <c r="T88" s="6">
        <v>14614</v>
      </c>
      <c r="U88" s="2"/>
      <c r="V88" s="7">
        <f t="shared" si="35"/>
        <v>1.2515687430169847E-3</v>
      </c>
      <c r="W88" s="2"/>
      <c r="X88" s="6">
        <f t="shared" si="36"/>
        <v>-4626.34</v>
      </c>
      <c r="Y88" s="2"/>
      <c r="Z88" s="7">
        <f t="shared" si="37"/>
        <v>-0.31656904338305736</v>
      </c>
    </row>
    <row r="89" spans="1:26" s="28" customFormat="1" outlineLevel="1" collapsed="1" x14ac:dyDescent="0.3">
      <c r="A89" s="27"/>
      <c r="B89" s="14" t="str">
        <f>CONCATENATE("     ","Bad Debts/Over/Short                              ")</f>
        <v xml:space="preserve">     Bad Debts/Over/Short                              </v>
      </c>
      <c r="C89" s="14"/>
      <c r="D89" s="1">
        <f>SUM(OSRRefD22_3x_0)</f>
        <v>20.94</v>
      </c>
      <c r="E89" s="1"/>
      <c r="F89" s="5">
        <f t="shared" si="30"/>
        <v>1.2332267179192707E-5</v>
      </c>
      <c r="G89" s="1"/>
      <c r="H89" s="1">
        <f>SUM(OSRRefH22_3x_0)</f>
        <v>278</v>
      </c>
      <c r="I89" s="1"/>
      <c r="J89" s="5">
        <f t="shared" si="31"/>
        <v>1.8433143056440559E-4</v>
      </c>
      <c r="K89" s="1"/>
      <c r="L89" s="1">
        <f t="shared" si="32"/>
        <v>-257.06</v>
      </c>
      <c r="M89" s="1"/>
      <c r="N89" s="5">
        <f t="shared" si="33"/>
        <v>-0.92467625899280581</v>
      </c>
      <c r="O89" s="14"/>
      <c r="P89" s="1">
        <f>SUM(OSRRefP22_3x_0)</f>
        <v>77.09</v>
      </c>
      <c r="Q89" s="1"/>
      <c r="R89" s="5">
        <f t="shared" si="34"/>
        <v>6.7767892189615405E-6</v>
      </c>
      <c r="S89" s="1"/>
      <c r="T89" s="1">
        <f>SUM(OSRRefT22_3x_0)</f>
        <v>1640</v>
      </c>
      <c r="U89" s="1"/>
      <c r="V89" s="5">
        <f t="shared" si="35"/>
        <v>1.4045249340001743E-4</v>
      </c>
      <c r="W89" s="1"/>
      <c r="X89" s="1">
        <f t="shared" si="36"/>
        <v>-1562.91</v>
      </c>
      <c r="Y89" s="1"/>
      <c r="Z89" s="5">
        <f t="shared" si="37"/>
        <v>-0.95299390243902449</v>
      </c>
    </row>
    <row r="90" spans="1:26" s="24" customFormat="1" hidden="1" outlineLevel="2" x14ac:dyDescent="0.3">
      <c r="A90" s="29"/>
      <c r="B90" s="11" t="str">
        <f>CONCATENATE("          ", "6272", " - ", "CASH (OVER/SHORT)")</f>
        <v xml:space="preserve">          6272 - CASH (OVER/SHORT)</v>
      </c>
      <c r="C90" s="11"/>
      <c r="D90" s="6">
        <v>20.94</v>
      </c>
      <c r="E90" s="2"/>
      <c r="F90" s="7">
        <f t="shared" si="30"/>
        <v>1.2332267179192707E-5</v>
      </c>
      <c r="G90" s="2"/>
      <c r="H90" s="6">
        <v>278</v>
      </c>
      <c r="I90" s="2"/>
      <c r="J90" s="7">
        <f t="shared" si="31"/>
        <v>1.8433143056440559E-4</v>
      </c>
      <c r="K90" s="2"/>
      <c r="L90" s="6">
        <f t="shared" si="32"/>
        <v>-257.06</v>
      </c>
      <c r="M90" s="2"/>
      <c r="N90" s="7">
        <f t="shared" si="33"/>
        <v>-0.92467625899280581</v>
      </c>
      <c r="O90" s="11"/>
      <c r="P90" s="6">
        <v>77.09</v>
      </c>
      <c r="Q90" s="2"/>
      <c r="R90" s="7">
        <f t="shared" si="34"/>
        <v>6.7767892189615405E-6</v>
      </c>
      <c r="S90" s="2"/>
      <c r="T90" s="6">
        <v>1640</v>
      </c>
      <c r="U90" s="2"/>
      <c r="V90" s="7">
        <f t="shared" si="35"/>
        <v>1.4045249340001743E-4</v>
      </c>
      <c r="W90" s="2"/>
      <c r="X90" s="6">
        <f t="shared" si="36"/>
        <v>-1562.91</v>
      </c>
      <c r="Y90" s="2"/>
      <c r="Z90" s="7">
        <f t="shared" si="37"/>
        <v>-0.95299390243902449</v>
      </c>
    </row>
    <row r="91" spans="1:26" s="28" customFormat="1" outlineLevel="1" collapsed="1" x14ac:dyDescent="0.3">
      <c r="A91" s="27"/>
      <c r="B91" s="14" t="str">
        <f>CONCATENATE("     ","Bank/card Fees                                    ")</f>
        <v xml:space="preserve">     Bank/card Fees                                    </v>
      </c>
      <c r="C91" s="14"/>
      <c r="D91" s="1">
        <f>SUM(OSRRefD22_4x_0)</f>
        <v>14111.72</v>
      </c>
      <c r="E91" s="1"/>
      <c r="F91" s="5">
        <f t="shared" si="30"/>
        <v>8.3108644411631939E-3</v>
      </c>
      <c r="G91" s="1"/>
      <c r="H91" s="1">
        <f>SUM(OSRRefH22_4x_0)</f>
        <v>15462</v>
      </c>
      <c r="I91" s="1"/>
      <c r="J91" s="5">
        <f t="shared" si="31"/>
        <v>1.0252275465420286E-2</v>
      </c>
      <c r="K91" s="1"/>
      <c r="L91" s="1">
        <f t="shared" si="32"/>
        <v>-1350.2800000000007</v>
      </c>
      <c r="M91" s="1"/>
      <c r="N91" s="5">
        <f t="shared" si="33"/>
        <v>-8.7328935454663081E-2</v>
      </c>
      <c r="O91" s="14"/>
      <c r="P91" s="1">
        <f>SUM(OSRRefP22_4x_0)</f>
        <v>96540.63</v>
      </c>
      <c r="Q91" s="1"/>
      <c r="R91" s="5">
        <f t="shared" si="34"/>
        <v>8.4866454867785057E-3</v>
      </c>
      <c r="S91" s="1"/>
      <c r="T91" s="1">
        <f>SUM(OSRRefT22_4x_0)</f>
        <v>143608.75</v>
      </c>
      <c r="U91" s="1"/>
      <c r="V91" s="5">
        <f t="shared" si="35"/>
        <v>1.2298906714365704E-2</v>
      </c>
      <c r="W91" s="1"/>
      <c r="X91" s="1">
        <f t="shared" si="36"/>
        <v>-47068.119999999995</v>
      </c>
      <c r="Y91" s="1"/>
      <c r="Z91" s="5">
        <f t="shared" si="37"/>
        <v>-0.32775245240975914</v>
      </c>
    </row>
    <row r="92" spans="1:26" s="24" customFormat="1" hidden="1" outlineLevel="2" x14ac:dyDescent="0.3">
      <c r="A92" s="29"/>
      <c r="B92" s="11" t="str">
        <f>CONCATENATE("          ", "6381", " - ", "BANK/CREDIT CARD FEES")</f>
        <v xml:space="preserve">          6381 - BANK/CREDIT CARD FEES</v>
      </c>
      <c r="C92" s="11"/>
      <c r="D92" s="6">
        <v>14111.72</v>
      </c>
      <c r="E92" s="2"/>
      <c r="F92" s="7">
        <f t="shared" si="30"/>
        <v>8.3108644411631939E-3</v>
      </c>
      <c r="G92" s="2"/>
      <c r="H92" s="6">
        <v>15462</v>
      </c>
      <c r="I92" s="2"/>
      <c r="J92" s="7">
        <f t="shared" si="31"/>
        <v>1.0252275465420286E-2</v>
      </c>
      <c r="K92" s="2"/>
      <c r="L92" s="6">
        <f t="shared" si="32"/>
        <v>-1350.2800000000007</v>
      </c>
      <c r="M92" s="2"/>
      <c r="N92" s="7">
        <f t="shared" si="33"/>
        <v>-8.7328935454663081E-2</v>
      </c>
      <c r="O92" s="11"/>
      <c r="P92" s="6">
        <v>96540.63</v>
      </c>
      <c r="Q92" s="2"/>
      <c r="R92" s="7">
        <f t="shared" si="34"/>
        <v>8.4866454867785057E-3</v>
      </c>
      <c r="S92" s="2"/>
      <c r="T92" s="6">
        <v>143608.75</v>
      </c>
      <c r="U92" s="2"/>
      <c r="V92" s="7">
        <f t="shared" si="35"/>
        <v>1.2298906714365704E-2</v>
      </c>
      <c r="W92" s="2"/>
      <c r="X92" s="6">
        <f t="shared" si="36"/>
        <v>-47068.119999999995</v>
      </c>
      <c r="Y92" s="2"/>
      <c r="Z92" s="7">
        <f t="shared" si="37"/>
        <v>-0.32775245240975914</v>
      </c>
    </row>
    <row r="93" spans="1:26" s="28" customFormat="1" outlineLevel="1" collapsed="1" x14ac:dyDescent="0.3">
      <c r="A93" s="27"/>
      <c r="B93" s="14" t="str">
        <f>CONCATENATE("     ","Depreciation                                      ")</f>
        <v xml:space="preserve">     Depreciation                                      </v>
      </c>
      <c r="C93" s="14"/>
      <c r="D93" s="1">
        <f>SUM(OSRRefD22_5x_0)</f>
        <v>70762.11</v>
      </c>
      <c r="E93" s="1"/>
      <c r="F93" s="5">
        <f t="shared" si="30"/>
        <v>4.167417605938032E-2</v>
      </c>
      <c r="G93" s="1"/>
      <c r="H93" s="1">
        <f>SUM(OSRRefH22_5x_0)</f>
        <v>70087</v>
      </c>
      <c r="I93" s="1"/>
      <c r="J93" s="5">
        <f t="shared" si="31"/>
        <v>4.6472075445926242E-2</v>
      </c>
      <c r="K93" s="1"/>
      <c r="L93" s="1">
        <f t="shared" si="32"/>
        <v>675.11000000000058</v>
      </c>
      <c r="M93" s="1"/>
      <c r="N93" s="5">
        <f t="shared" si="33"/>
        <v>9.6324568036868542E-3</v>
      </c>
      <c r="O93" s="14"/>
      <c r="P93" s="1">
        <f>SUM(OSRRefP22_5x_0)</f>
        <v>427410.71</v>
      </c>
      <c r="Q93" s="1"/>
      <c r="R93" s="5">
        <f t="shared" si="34"/>
        <v>3.7572607233061321E-2</v>
      </c>
      <c r="S93" s="1"/>
      <c r="T93" s="1">
        <f>SUM(OSRRefT22_5x_0)</f>
        <v>423357</v>
      </c>
      <c r="U93" s="1"/>
      <c r="V93" s="5">
        <f t="shared" si="35"/>
        <v>3.6257040395336088E-2</v>
      </c>
      <c r="W93" s="1"/>
      <c r="X93" s="1">
        <f t="shared" si="36"/>
        <v>4053.710000000021</v>
      </c>
      <c r="Y93" s="1"/>
      <c r="Z93" s="5">
        <f t="shared" si="37"/>
        <v>9.5751576092990565E-3</v>
      </c>
    </row>
    <row r="94" spans="1:26" s="24" customFormat="1" hidden="1" outlineLevel="2" x14ac:dyDescent="0.3">
      <c r="A94" s="29"/>
      <c r="B94" s="11" t="str">
        <f>CONCATENATE("          ", "6321", " - ", "BUILDING DEPRECIATION")</f>
        <v xml:space="preserve">          6321 - BUILDING DEPRECIATION</v>
      </c>
      <c r="C94" s="11"/>
      <c r="D94" s="6">
        <v>45016.42</v>
      </c>
      <c r="E94" s="2"/>
      <c r="F94" s="7">
        <f t="shared" si="30"/>
        <v>2.6511677119902297E-2</v>
      </c>
      <c r="G94" s="2"/>
      <c r="H94" s="6"/>
      <c r="I94" s="2"/>
      <c r="J94" s="7">
        <f t="shared" si="31"/>
        <v>0</v>
      </c>
      <c r="K94" s="2"/>
      <c r="L94" s="6">
        <f t="shared" si="32"/>
        <v>45016.42</v>
      </c>
      <c r="M94" s="2"/>
      <c r="N94" s="7">
        <f t="shared" si="33"/>
        <v>0</v>
      </c>
      <c r="O94" s="11"/>
      <c r="P94" s="6">
        <v>270186.71000000002</v>
      </c>
      <c r="Q94" s="2"/>
      <c r="R94" s="7">
        <f t="shared" si="34"/>
        <v>2.3751438363402363E-2</v>
      </c>
      <c r="S94" s="2"/>
      <c r="T94" s="6"/>
      <c r="U94" s="2"/>
      <c r="V94" s="7">
        <f t="shared" si="35"/>
        <v>0</v>
      </c>
      <c r="W94" s="2"/>
      <c r="X94" s="6">
        <f t="shared" si="36"/>
        <v>270186.71000000002</v>
      </c>
      <c r="Y94" s="2"/>
      <c r="Z94" s="7">
        <f t="shared" si="37"/>
        <v>0</v>
      </c>
    </row>
    <row r="95" spans="1:26" s="24" customFormat="1" hidden="1" outlineLevel="2" x14ac:dyDescent="0.3">
      <c r="A95" s="29"/>
      <c r="B95" s="11" t="str">
        <f>CONCATENATE("          ", "6322", " - ", "EQUIPMENT DEPRECIATION EXPENSE")</f>
        <v xml:space="preserve">          6322 - EQUIPMENT DEPRECIATION EXPENSE</v>
      </c>
      <c r="C95" s="11"/>
      <c r="D95" s="6">
        <v>25745.69</v>
      </c>
      <c r="E95" s="2"/>
      <c r="F95" s="7">
        <f t="shared" si="30"/>
        <v>1.5162498939478025E-2</v>
      </c>
      <c r="G95" s="2"/>
      <c r="H95" s="6">
        <v>70087</v>
      </c>
      <c r="I95" s="2"/>
      <c r="J95" s="7">
        <f t="shared" si="31"/>
        <v>4.6472075445926242E-2</v>
      </c>
      <c r="K95" s="2"/>
      <c r="L95" s="6">
        <f t="shared" si="32"/>
        <v>-44341.31</v>
      </c>
      <c r="M95" s="2"/>
      <c r="N95" s="7">
        <f t="shared" si="33"/>
        <v>-0.63266097849815228</v>
      </c>
      <c r="O95" s="11"/>
      <c r="P95" s="6">
        <v>157224</v>
      </c>
      <c r="Q95" s="2"/>
      <c r="R95" s="7">
        <f t="shared" si="34"/>
        <v>1.3821168869658959E-2</v>
      </c>
      <c r="S95" s="2"/>
      <c r="T95" s="6">
        <v>423357</v>
      </c>
      <c r="U95" s="2"/>
      <c r="V95" s="7">
        <f t="shared" si="35"/>
        <v>3.6257040395336088E-2</v>
      </c>
      <c r="W95" s="2"/>
      <c r="X95" s="6">
        <f t="shared" si="36"/>
        <v>-266133</v>
      </c>
      <c r="Y95" s="2"/>
      <c r="Z95" s="7">
        <f t="shared" si="37"/>
        <v>-0.62862548629171122</v>
      </c>
    </row>
    <row r="96" spans="1:26" s="28" customFormat="1" outlineLevel="1" collapsed="1" x14ac:dyDescent="0.3">
      <c r="A96" s="27"/>
      <c r="B96" s="14" t="str">
        <f>CONCATENATE("     ","Discounts and Markdowns                           ")</f>
        <v xml:space="preserve">     Discounts and Markdowns                           </v>
      </c>
      <c r="C96" s="14"/>
      <c r="D96" s="1">
        <f>SUM(OSRRefD22_6x_0)</f>
        <v>11.17</v>
      </c>
      <c r="E96" s="1"/>
      <c r="F96" s="5">
        <f t="shared" ref="F96:F98" si="38">IF(D$12=0,0,D96/D$12)</f>
        <v>6.5783870292064243E-6</v>
      </c>
      <c r="G96" s="1"/>
      <c r="H96" s="1">
        <f>SUM(OSRRefH22_6x_0)</f>
        <v>0</v>
      </c>
      <c r="I96" s="1"/>
      <c r="J96" s="5">
        <f t="shared" ref="J96:J98" si="39">IF(H$12=0,0,H96/H$12)</f>
        <v>0</v>
      </c>
      <c r="K96" s="1"/>
      <c r="L96" s="1">
        <f t="shared" ref="L96:L98" si="40">+D96-H96</f>
        <v>11.17</v>
      </c>
      <c r="M96" s="1"/>
      <c r="N96" s="5">
        <f t="shared" ref="N96:N98" si="41">IF(H96=0,0,L96/H96)</f>
        <v>0</v>
      </c>
      <c r="O96" s="14"/>
      <c r="P96" s="1">
        <f>SUM(OSRRefP22_6x_0)</f>
        <v>3354.8</v>
      </c>
      <c r="Q96" s="1"/>
      <c r="R96" s="5">
        <f t="shared" ref="R96:R98" si="42">IF(P$12=0,0,P96/P$12)</f>
        <v>2.9491208291311684E-4</v>
      </c>
      <c r="S96" s="1"/>
      <c r="T96" s="1">
        <f>SUM(OSRRefT22_6x_0)</f>
        <v>0</v>
      </c>
      <c r="U96" s="1"/>
      <c r="V96" s="5">
        <f t="shared" ref="V96:V98" si="43">IF(T$12=0,0,T96/T$12)</f>
        <v>0</v>
      </c>
      <c r="W96" s="1"/>
      <c r="X96" s="1">
        <f t="shared" ref="X96:X98" si="44">+P96-T96</f>
        <v>3354.8</v>
      </c>
      <c r="Y96" s="1"/>
      <c r="Z96" s="5">
        <f t="shared" ref="Z96:Z98" si="45">IF(T96=0,0,X96/T96)</f>
        <v>0</v>
      </c>
    </row>
    <row r="97" spans="1:26" s="24" customFormat="1" hidden="1" outlineLevel="2" x14ac:dyDescent="0.3">
      <c r="A97" s="29"/>
      <c r="B97" s="11" t="str">
        <f>CONCATENATE("          ", "6382", " - ", "DISCOUNTS/MARK DOWNS")</f>
        <v xml:space="preserve">          6382 - DISCOUNTS/MARK DOWNS</v>
      </c>
      <c r="C97" s="11"/>
      <c r="D97" s="6"/>
      <c r="E97" s="2"/>
      <c r="F97" s="7">
        <f t="shared" si="38"/>
        <v>0</v>
      </c>
      <c r="G97" s="2"/>
      <c r="H97" s="6"/>
      <c r="I97" s="2"/>
      <c r="J97" s="7">
        <f t="shared" si="39"/>
        <v>0</v>
      </c>
      <c r="K97" s="2"/>
      <c r="L97" s="6">
        <f t="shared" si="40"/>
        <v>0</v>
      </c>
      <c r="M97" s="2"/>
      <c r="N97" s="7">
        <f t="shared" si="41"/>
        <v>0</v>
      </c>
      <c r="O97" s="11"/>
      <c r="P97" s="6">
        <v>3410</v>
      </c>
      <c r="Q97" s="2"/>
      <c r="R97" s="7">
        <f t="shared" si="42"/>
        <v>2.9976457694459529E-4</v>
      </c>
      <c r="S97" s="2"/>
      <c r="T97" s="6">
        <v>0</v>
      </c>
      <c r="U97" s="2"/>
      <c r="V97" s="7">
        <f t="shared" si="43"/>
        <v>0</v>
      </c>
      <c r="W97" s="2"/>
      <c r="X97" s="6">
        <f t="shared" si="44"/>
        <v>3410</v>
      </c>
      <c r="Y97" s="2"/>
      <c r="Z97" s="7">
        <f t="shared" si="45"/>
        <v>0</v>
      </c>
    </row>
    <row r="98" spans="1:26" s="24" customFormat="1" hidden="1" outlineLevel="2" x14ac:dyDescent="0.3">
      <c r="A98" s="29"/>
      <c r="B98" s="11" t="str">
        <f>CONCATENATE("          ", "9175", " - ", "EARNED DISCOUNTS")</f>
        <v xml:space="preserve">          9175 - EARNED DISCOUNTS</v>
      </c>
      <c r="C98" s="11"/>
      <c r="D98" s="6">
        <v>11.17</v>
      </c>
      <c r="E98" s="2"/>
      <c r="F98" s="7">
        <f t="shared" si="38"/>
        <v>6.5783870292064243E-6</v>
      </c>
      <c r="G98" s="2"/>
      <c r="H98" s="6"/>
      <c r="I98" s="2"/>
      <c r="J98" s="7">
        <f t="shared" si="39"/>
        <v>0</v>
      </c>
      <c r="K98" s="2"/>
      <c r="L98" s="6">
        <f t="shared" si="40"/>
        <v>11.17</v>
      </c>
      <c r="M98" s="2"/>
      <c r="N98" s="7">
        <f t="shared" si="41"/>
        <v>0</v>
      </c>
      <c r="O98" s="11"/>
      <c r="P98" s="6">
        <v>-55.2</v>
      </c>
      <c r="Q98" s="2"/>
      <c r="R98" s="7">
        <f t="shared" si="42"/>
        <v>-4.8524940314784929E-6</v>
      </c>
      <c r="S98" s="2"/>
      <c r="T98" s="6"/>
      <c r="U98" s="2"/>
      <c r="V98" s="7">
        <f t="shared" si="43"/>
        <v>0</v>
      </c>
      <c r="W98" s="2"/>
      <c r="X98" s="6">
        <f t="shared" si="44"/>
        <v>-55.2</v>
      </c>
      <c r="Y98" s="2"/>
      <c r="Z98" s="7">
        <f t="shared" si="45"/>
        <v>0</v>
      </c>
    </row>
    <row r="99" spans="1:26" s="28" customFormat="1" outlineLevel="1" collapsed="1" x14ac:dyDescent="0.3">
      <c r="A99" s="27"/>
      <c r="B99" s="14" t="str">
        <f>CONCATENATE("     ","Donations                                         ")</f>
        <v xml:space="preserve">     Donations                                         </v>
      </c>
      <c r="C99" s="14"/>
      <c r="D99" s="1">
        <f>SUM(OSRRefD22_7x_0)</f>
        <v>3782.41</v>
      </c>
      <c r="E99" s="1"/>
      <c r="F99" s="5">
        <f t="shared" ref="F99:F107" si="46">IF(D$12=0,0,D99/D$12)</f>
        <v>2.2275879035936141E-3</v>
      </c>
      <c r="G99" s="1"/>
      <c r="H99" s="1">
        <f>SUM(OSRRefH22_7x_0)</f>
        <v>16750</v>
      </c>
      <c r="I99" s="1"/>
      <c r="J99" s="5">
        <f t="shared" ref="J99:J107" si="47">IF(H$12=0,0,H99/H$12)</f>
        <v>1.1106300222855374E-2</v>
      </c>
      <c r="K99" s="1"/>
      <c r="L99" s="1">
        <f t="shared" ref="L99:L107" si="48">+D99-H99</f>
        <v>-12967.59</v>
      </c>
      <c r="M99" s="1"/>
      <c r="N99" s="5">
        <f t="shared" ref="N99:N107" si="49">IF(H99=0,0,L99/H99)</f>
        <v>-0.77418447761194031</v>
      </c>
      <c r="O99" s="14"/>
      <c r="P99" s="1">
        <f>SUM(OSRRefP22_7x_0)</f>
        <v>39415.22</v>
      </c>
      <c r="Q99" s="1"/>
      <c r="R99" s="5">
        <f t="shared" ref="R99:R107" si="50">IF(P$12=0,0,P99/P$12)</f>
        <v>3.464893474627024E-3</v>
      </c>
      <c r="S99" s="1"/>
      <c r="T99" s="1">
        <f>SUM(OSRRefT22_7x_0)</f>
        <v>85000</v>
      </c>
      <c r="U99" s="1"/>
      <c r="V99" s="5">
        <f t="shared" ref="V99:V107" si="51">IF(T$12=0,0,T99/T$12)</f>
        <v>7.2795499628057819E-3</v>
      </c>
      <c r="W99" s="1"/>
      <c r="X99" s="1">
        <f t="shared" ref="X99:X107" si="52">+P99-T99</f>
        <v>-45584.78</v>
      </c>
      <c r="Y99" s="1"/>
      <c r="Z99" s="5">
        <f t="shared" ref="Z99:Z107" si="53">IF(T99=0,0,X99/T99)</f>
        <v>-0.53629152941176472</v>
      </c>
    </row>
    <row r="100" spans="1:26" s="24" customFormat="1" hidden="1" outlineLevel="2" x14ac:dyDescent="0.3">
      <c r="A100" s="29"/>
      <c r="B100" s="11" t="str">
        <f>CONCATENATE("          ", "6399", " - ", "DONATION-ON CAMPUS")</f>
        <v xml:space="preserve">          6399 - DONATION-ON CAMPUS</v>
      </c>
      <c r="C100" s="11"/>
      <c r="D100" s="6">
        <v>3782.41</v>
      </c>
      <c r="E100" s="2"/>
      <c r="F100" s="7">
        <f t="shared" si="46"/>
        <v>2.2275879035936141E-3</v>
      </c>
      <c r="G100" s="2"/>
      <c r="H100" s="6">
        <v>16750</v>
      </c>
      <c r="I100" s="2"/>
      <c r="J100" s="7">
        <f t="shared" si="47"/>
        <v>1.1106300222855374E-2</v>
      </c>
      <c r="K100" s="2"/>
      <c r="L100" s="6">
        <f t="shared" si="48"/>
        <v>-12967.59</v>
      </c>
      <c r="M100" s="2"/>
      <c r="N100" s="7">
        <f t="shared" si="49"/>
        <v>-0.77418447761194031</v>
      </c>
      <c r="O100" s="11"/>
      <c r="P100" s="6">
        <v>39415.22</v>
      </c>
      <c r="Q100" s="2"/>
      <c r="R100" s="7">
        <f t="shared" si="50"/>
        <v>3.464893474627024E-3</v>
      </c>
      <c r="S100" s="2"/>
      <c r="T100" s="6">
        <v>85000</v>
      </c>
      <c r="U100" s="2"/>
      <c r="V100" s="7">
        <f t="shared" si="51"/>
        <v>7.2795499628057819E-3</v>
      </c>
      <c r="W100" s="2"/>
      <c r="X100" s="6">
        <f t="shared" si="52"/>
        <v>-45584.78</v>
      </c>
      <c r="Y100" s="2"/>
      <c r="Z100" s="7">
        <f t="shared" si="53"/>
        <v>-0.53629152941176472</v>
      </c>
    </row>
    <row r="101" spans="1:26" s="28" customFormat="1" outlineLevel="1" collapsed="1" x14ac:dyDescent="0.3">
      <c r="A101" s="27"/>
      <c r="B101" s="14" t="str">
        <f>CONCATENATE("     ","Employees' Appreciation                           ")</f>
        <v xml:space="preserve">     Employees' Appreciation                           </v>
      </c>
      <c r="C101" s="14"/>
      <c r="D101" s="1">
        <f>SUM(OSRRefD22_8x_0)</f>
        <v>1236.26</v>
      </c>
      <c r="E101" s="1"/>
      <c r="F101" s="5">
        <f t="shared" si="46"/>
        <v>7.2807491036049542E-4</v>
      </c>
      <c r="G101" s="1"/>
      <c r="H101" s="1">
        <f>SUM(OSRRefH22_8x_0)</f>
        <v>905</v>
      </c>
      <c r="I101" s="1"/>
      <c r="J101" s="5">
        <f t="shared" si="47"/>
        <v>6.0007174338412616E-4</v>
      </c>
      <c r="K101" s="1"/>
      <c r="L101" s="1">
        <f t="shared" si="48"/>
        <v>331.26</v>
      </c>
      <c r="M101" s="1"/>
      <c r="N101" s="5">
        <f t="shared" si="49"/>
        <v>0.36603314917127072</v>
      </c>
      <c r="O101" s="14"/>
      <c r="P101" s="1">
        <f>SUM(OSRRefP22_8x_0)</f>
        <v>3301.04</v>
      </c>
      <c r="Q101" s="1"/>
      <c r="R101" s="5">
        <f t="shared" si="50"/>
        <v>2.9018617568245947E-4</v>
      </c>
      <c r="S101" s="1"/>
      <c r="T101" s="1">
        <f>SUM(OSRRefT22_8x_0)</f>
        <v>3550</v>
      </c>
      <c r="U101" s="1"/>
      <c r="V101" s="5">
        <f t="shared" si="51"/>
        <v>3.0402826315247678E-4</v>
      </c>
      <c r="W101" s="1"/>
      <c r="X101" s="1">
        <f t="shared" si="52"/>
        <v>-248.96000000000004</v>
      </c>
      <c r="Y101" s="1"/>
      <c r="Z101" s="5">
        <f t="shared" si="53"/>
        <v>-7.0129577464788748E-2</v>
      </c>
    </row>
    <row r="102" spans="1:26" s="24" customFormat="1" hidden="1" outlineLevel="2" x14ac:dyDescent="0.3">
      <c r="A102" s="29"/>
      <c r="B102" s="11" t="str">
        <f>CONCATENATE("          ", "6277", " - ", "EMPLOYEE APPRECIATION")</f>
        <v xml:space="preserve">          6277 - EMPLOYEE APPRECIATION</v>
      </c>
      <c r="C102" s="11"/>
      <c r="D102" s="6">
        <v>1236.26</v>
      </c>
      <c r="E102" s="2"/>
      <c r="F102" s="7">
        <f t="shared" si="46"/>
        <v>7.2807491036049542E-4</v>
      </c>
      <c r="G102" s="2"/>
      <c r="H102" s="6">
        <v>905</v>
      </c>
      <c r="I102" s="2"/>
      <c r="J102" s="7">
        <f t="shared" si="47"/>
        <v>6.0007174338412616E-4</v>
      </c>
      <c r="K102" s="2"/>
      <c r="L102" s="6">
        <f t="shared" si="48"/>
        <v>331.26</v>
      </c>
      <c r="M102" s="2"/>
      <c r="N102" s="7">
        <f t="shared" si="49"/>
        <v>0.36603314917127072</v>
      </c>
      <c r="O102" s="11"/>
      <c r="P102" s="6">
        <v>3301.04</v>
      </c>
      <c r="Q102" s="2"/>
      <c r="R102" s="7">
        <f t="shared" si="50"/>
        <v>2.9018617568245947E-4</v>
      </c>
      <c r="S102" s="2"/>
      <c r="T102" s="6">
        <v>3550</v>
      </c>
      <c r="U102" s="2"/>
      <c r="V102" s="7">
        <f t="shared" si="51"/>
        <v>3.0402826315247678E-4</v>
      </c>
      <c r="W102" s="2"/>
      <c r="X102" s="6">
        <f t="shared" si="52"/>
        <v>-248.96000000000004</v>
      </c>
      <c r="Y102" s="2"/>
      <c r="Z102" s="7">
        <f t="shared" si="53"/>
        <v>-7.0129577464788748E-2</v>
      </c>
    </row>
    <row r="103" spans="1:26" s="28" customFormat="1" outlineLevel="1" collapsed="1" x14ac:dyDescent="0.3">
      <c r="A103" s="27"/>
      <c r="B103" s="14" t="str">
        <f>CONCATENATE("     ","Equipment Rental                                  ")</f>
        <v xml:space="preserve">     Equipment Rental                                  </v>
      </c>
      <c r="C103" s="14"/>
      <c r="D103" s="1">
        <f>SUM(OSRRefD22_9x_0)</f>
        <v>4116.82</v>
      </c>
      <c r="E103" s="1"/>
      <c r="F103" s="5">
        <f t="shared" si="46"/>
        <v>2.4245331503650485E-3</v>
      </c>
      <c r="G103" s="1"/>
      <c r="H103" s="1">
        <f>SUM(OSRRefH22_9x_0)</f>
        <v>3446</v>
      </c>
      <c r="I103" s="1"/>
      <c r="J103" s="5">
        <f t="shared" si="47"/>
        <v>2.2849140637587833E-3</v>
      </c>
      <c r="K103" s="1"/>
      <c r="L103" s="1">
        <f t="shared" si="48"/>
        <v>670.81999999999971</v>
      </c>
      <c r="M103" s="1"/>
      <c r="N103" s="5">
        <f t="shared" si="49"/>
        <v>0.19466627974463138</v>
      </c>
      <c r="O103" s="14"/>
      <c r="P103" s="1">
        <f>SUM(OSRRefP22_9x_0)</f>
        <v>23493.38</v>
      </c>
      <c r="Q103" s="1"/>
      <c r="R103" s="5">
        <f t="shared" si="50"/>
        <v>2.0652443157473947E-3</v>
      </c>
      <c r="S103" s="1"/>
      <c r="T103" s="1">
        <f>SUM(OSRRefT22_9x_0)</f>
        <v>20476</v>
      </c>
      <c r="U103" s="1"/>
      <c r="V103" s="5">
        <f t="shared" si="51"/>
        <v>1.7536007651577786E-3</v>
      </c>
      <c r="W103" s="1"/>
      <c r="X103" s="1">
        <f t="shared" si="52"/>
        <v>3017.380000000001</v>
      </c>
      <c r="Y103" s="1"/>
      <c r="Z103" s="5">
        <f t="shared" si="53"/>
        <v>0.14736178941199457</v>
      </c>
    </row>
    <row r="104" spans="1:26" s="24" customFormat="1" hidden="1" outlineLevel="2" x14ac:dyDescent="0.3">
      <c r="A104" s="29"/>
      <c r="B104" s="11" t="str">
        <f>CONCATENATE("          ", "6351", " - ", "EQUIPMENT RENTAL")</f>
        <v xml:space="preserve">          6351 - EQUIPMENT RENTAL</v>
      </c>
      <c r="C104" s="11"/>
      <c r="D104" s="6">
        <v>4116.82</v>
      </c>
      <c r="E104" s="2"/>
      <c r="F104" s="7">
        <f t="shared" si="46"/>
        <v>2.4245331503650485E-3</v>
      </c>
      <c r="G104" s="2"/>
      <c r="H104" s="6">
        <v>3446</v>
      </c>
      <c r="I104" s="2"/>
      <c r="J104" s="7">
        <f t="shared" si="47"/>
        <v>2.2849140637587833E-3</v>
      </c>
      <c r="K104" s="2"/>
      <c r="L104" s="6">
        <f t="shared" si="48"/>
        <v>670.81999999999971</v>
      </c>
      <c r="M104" s="2"/>
      <c r="N104" s="7">
        <f t="shared" si="49"/>
        <v>0.19466627974463138</v>
      </c>
      <c r="O104" s="11"/>
      <c r="P104" s="6">
        <v>23493.38</v>
      </c>
      <c r="Q104" s="2"/>
      <c r="R104" s="7">
        <f t="shared" si="50"/>
        <v>2.0652443157473947E-3</v>
      </c>
      <c r="S104" s="2"/>
      <c r="T104" s="6">
        <v>20476</v>
      </c>
      <c r="U104" s="2"/>
      <c r="V104" s="7">
        <f t="shared" si="51"/>
        <v>1.7536007651577786E-3</v>
      </c>
      <c r="W104" s="2"/>
      <c r="X104" s="6">
        <f t="shared" si="52"/>
        <v>3017.380000000001</v>
      </c>
      <c r="Y104" s="2"/>
      <c r="Z104" s="7">
        <f t="shared" si="53"/>
        <v>0.14736178941199457</v>
      </c>
    </row>
    <row r="105" spans="1:26" s="28" customFormat="1" outlineLevel="1" collapsed="1" x14ac:dyDescent="0.3">
      <c r="A105" s="27"/>
      <c r="B105" s="14" t="str">
        <f>CONCATENATE("     ","Freight out/Postage                               ")</f>
        <v xml:space="preserve">     Freight out/Postage                               </v>
      </c>
      <c r="C105" s="14"/>
      <c r="D105" s="1">
        <f>SUM(OSRRefD22_10x_0)</f>
        <v>-2180.9800000000014</v>
      </c>
      <c r="E105" s="1"/>
      <c r="F105" s="5">
        <f t="shared" si="46"/>
        <v>-1.2844521524582487E-3</v>
      </c>
      <c r="G105" s="1"/>
      <c r="H105" s="1">
        <f>SUM(OSRRefH22_10x_0)</f>
        <v>-25</v>
      </c>
      <c r="I105" s="1"/>
      <c r="J105" s="5">
        <f t="shared" si="47"/>
        <v>-1.6576567496799063E-5</v>
      </c>
      <c r="K105" s="1"/>
      <c r="L105" s="1">
        <f t="shared" si="48"/>
        <v>-2155.9800000000014</v>
      </c>
      <c r="M105" s="1"/>
      <c r="N105" s="5">
        <f t="shared" si="49"/>
        <v>86.239200000000054</v>
      </c>
      <c r="O105" s="14"/>
      <c r="P105" s="1">
        <f>SUM(OSRRefP22_10x_0)</f>
        <v>-32044.460000000006</v>
      </c>
      <c r="Q105" s="1"/>
      <c r="R105" s="5">
        <f t="shared" si="50"/>
        <v>-2.816948385723756E-3</v>
      </c>
      <c r="S105" s="1"/>
      <c r="T105" s="1">
        <f>SUM(OSRRefT22_10x_0)</f>
        <v>8750</v>
      </c>
      <c r="U105" s="1"/>
      <c r="V105" s="5">
        <f t="shared" si="51"/>
        <v>7.4936543734765396E-4</v>
      </c>
      <c r="W105" s="1"/>
      <c r="X105" s="1">
        <f t="shared" si="52"/>
        <v>-40794.460000000006</v>
      </c>
      <c r="Y105" s="1"/>
      <c r="Z105" s="5">
        <f t="shared" si="53"/>
        <v>-4.662224000000001</v>
      </c>
    </row>
    <row r="106" spans="1:26" s="24" customFormat="1" hidden="1" outlineLevel="2" x14ac:dyDescent="0.3">
      <c r="A106" s="29"/>
      <c r="B106" s="11" t="str">
        <f>CONCATENATE("          ", "6305", " - ", "FREIGHT OUT")</f>
        <v xml:space="preserve">          6305 - FREIGHT OUT</v>
      </c>
      <c r="C106" s="11"/>
      <c r="D106" s="6">
        <v>12270.64</v>
      </c>
      <c r="E106" s="2"/>
      <c r="F106" s="7">
        <f t="shared" si="46"/>
        <v>7.2265907803098937E-3</v>
      </c>
      <c r="G106" s="2"/>
      <c r="H106" s="6">
        <v>9565</v>
      </c>
      <c r="I106" s="2"/>
      <c r="J106" s="7">
        <f t="shared" si="47"/>
        <v>6.3421947242753218E-3</v>
      </c>
      <c r="K106" s="2"/>
      <c r="L106" s="6">
        <f t="shared" si="48"/>
        <v>2705.6399999999994</v>
      </c>
      <c r="M106" s="2"/>
      <c r="N106" s="7">
        <f t="shared" si="49"/>
        <v>0.28286879247255614</v>
      </c>
      <c r="O106" s="11"/>
      <c r="P106" s="6">
        <v>78222.009999999995</v>
      </c>
      <c r="Q106" s="2"/>
      <c r="R106" s="7">
        <f t="shared" si="50"/>
        <v>6.8763013886820826E-3</v>
      </c>
      <c r="S106" s="2"/>
      <c r="T106" s="6">
        <v>99590</v>
      </c>
      <c r="U106" s="2"/>
      <c r="V106" s="7">
        <f t="shared" si="51"/>
        <v>8.5290633034803276E-3</v>
      </c>
      <c r="W106" s="2"/>
      <c r="X106" s="6">
        <f t="shared" si="52"/>
        <v>-21367.990000000005</v>
      </c>
      <c r="Y106" s="2"/>
      <c r="Z106" s="7">
        <f t="shared" si="53"/>
        <v>-0.21455959433678085</v>
      </c>
    </row>
    <row r="107" spans="1:26" s="24" customFormat="1" hidden="1" outlineLevel="2" x14ac:dyDescent="0.3">
      <c r="A107" s="29"/>
      <c r="B107" s="11" t="str">
        <f>CONCATENATE("          ", "6307", " - ", "POSTAGE")</f>
        <v xml:space="preserve">          6307 - POSTAGE</v>
      </c>
      <c r="C107" s="11"/>
      <c r="D107" s="6">
        <v>-14451.62</v>
      </c>
      <c r="E107" s="2"/>
      <c r="F107" s="7">
        <f t="shared" si="46"/>
        <v>-8.5110429327681422E-3</v>
      </c>
      <c r="G107" s="2"/>
      <c r="H107" s="6">
        <v>-9590</v>
      </c>
      <c r="I107" s="2"/>
      <c r="J107" s="7">
        <f t="shared" si="47"/>
        <v>-6.3587712917721213E-3</v>
      </c>
      <c r="K107" s="2"/>
      <c r="L107" s="6">
        <f t="shared" si="48"/>
        <v>-4861.6200000000008</v>
      </c>
      <c r="M107" s="2"/>
      <c r="N107" s="7">
        <f t="shared" si="49"/>
        <v>0.50694681960375398</v>
      </c>
      <c r="O107" s="11"/>
      <c r="P107" s="6">
        <v>-110266.47</v>
      </c>
      <c r="Q107" s="2"/>
      <c r="R107" s="7">
        <f t="shared" si="50"/>
        <v>-9.6932497744058391E-3</v>
      </c>
      <c r="S107" s="2"/>
      <c r="T107" s="6">
        <v>-90840</v>
      </c>
      <c r="U107" s="2"/>
      <c r="V107" s="7">
        <f t="shared" si="51"/>
        <v>-7.7796978661326729E-3</v>
      </c>
      <c r="W107" s="2"/>
      <c r="X107" s="6">
        <f t="shared" si="52"/>
        <v>-19426.47</v>
      </c>
      <c r="Y107" s="2"/>
      <c r="Z107" s="7">
        <f t="shared" si="53"/>
        <v>0.21385369881109645</v>
      </c>
    </row>
    <row r="108" spans="1:26" s="28" customFormat="1" outlineLevel="1" collapsed="1" x14ac:dyDescent="0.3">
      <c r="A108" s="27"/>
      <c r="B108" s="14" t="str">
        <f>CONCATENATE("     ","General                                           ")</f>
        <v xml:space="preserve">     General                                           </v>
      </c>
      <c r="C108" s="14"/>
      <c r="D108" s="1">
        <f>SUM(OSRRefD22_11x_0)</f>
        <v>2144.19</v>
      </c>
      <c r="E108" s="1"/>
      <c r="F108" s="5">
        <f t="shared" ref="F108:F110" si="54">IF(D$12=0,0,D108/D$12)</f>
        <v>1.2627852895393127E-3</v>
      </c>
      <c r="G108" s="1"/>
      <c r="H108" s="1">
        <f>SUM(OSRRefH22_11x_0)</f>
        <v>5550</v>
      </c>
      <c r="I108" s="1"/>
      <c r="J108" s="5">
        <f t="shared" ref="J108:J110" si="55">IF(H$12=0,0,H108/H$12)</f>
        <v>3.6799979842893926E-3</v>
      </c>
      <c r="K108" s="1"/>
      <c r="L108" s="1">
        <f t="shared" ref="L108:L110" si="56">+D108-H108</f>
        <v>-3405.81</v>
      </c>
      <c r="M108" s="1"/>
      <c r="N108" s="5">
        <f t="shared" ref="N108:N110" si="57">IF(H108=0,0,L108/H108)</f>
        <v>-0.61365945945945943</v>
      </c>
      <c r="O108" s="14"/>
      <c r="P108" s="1">
        <f>SUM(OSRRefP22_11x_0)</f>
        <v>32895.54</v>
      </c>
      <c r="Q108" s="1"/>
      <c r="R108" s="5">
        <f t="shared" ref="R108:R110" si="58">IF(P$12=0,0,P108/P$12)</f>
        <v>2.8917647013090948E-3</v>
      </c>
      <c r="S108" s="1"/>
      <c r="T108" s="1">
        <f>SUM(OSRRefT22_11x_0)</f>
        <v>18835</v>
      </c>
      <c r="U108" s="1"/>
      <c r="V108" s="5">
        <f t="shared" ref="V108:V110" si="59">IF(T$12=0,0,T108/T$12)</f>
        <v>1.6130626299934929E-3</v>
      </c>
      <c r="W108" s="1"/>
      <c r="X108" s="1">
        <f t="shared" ref="X108:X110" si="60">+P108-T108</f>
        <v>14060.54</v>
      </c>
      <c r="Y108" s="1"/>
      <c r="Z108" s="5">
        <f t="shared" ref="Z108:Z110" si="61">IF(T108=0,0,X108/T108)</f>
        <v>0.74651128218741714</v>
      </c>
    </row>
    <row r="109" spans="1:26" s="24" customFormat="1" hidden="1" outlineLevel="2" x14ac:dyDescent="0.3">
      <c r="A109" s="29"/>
      <c r="B109" s="11" t="str">
        <f>CONCATENATE("          ", "6276", " - ", "PROPERTY TAX")</f>
        <v xml:space="preserve">          6276 - PROPERTY TAX</v>
      </c>
      <c r="C109" s="11"/>
      <c r="D109" s="6"/>
      <c r="E109" s="2"/>
      <c r="F109" s="7">
        <f t="shared" si="54"/>
        <v>0</v>
      </c>
      <c r="G109" s="2"/>
      <c r="H109" s="6">
        <v>1125</v>
      </c>
      <c r="I109" s="2"/>
      <c r="J109" s="7">
        <f t="shared" si="55"/>
        <v>7.4594553735595794E-4</v>
      </c>
      <c r="K109" s="2"/>
      <c r="L109" s="6">
        <f t="shared" si="56"/>
        <v>-1125</v>
      </c>
      <c r="M109" s="2"/>
      <c r="N109" s="7">
        <f t="shared" si="57"/>
        <v>-1</v>
      </c>
      <c r="O109" s="11"/>
      <c r="P109" s="6"/>
      <c r="Q109" s="2"/>
      <c r="R109" s="7">
        <f t="shared" si="58"/>
        <v>0</v>
      </c>
      <c r="S109" s="2"/>
      <c r="T109" s="6">
        <v>1250</v>
      </c>
      <c r="U109" s="2"/>
      <c r="V109" s="7">
        <f t="shared" si="59"/>
        <v>1.0705220533537914E-4</v>
      </c>
      <c r="W109" s="2"/>
      <c r="X109" s="6">
        <f t="shared" si="60"/>
        <v>-1250</v>
      </c>
      <c r="Y109" s="2"/>
      <c r="Z109" s="7">
        <f t="shared" si="61"/>
        <v>-1</v>
      </c>
    </row>
    <row r="110" spans="1:26" s="24" customFormat="1" hidden="1" outlineLevel="2" x14ac:dyDescent="0.3">
      <c r="A110" s="29"/>
      <c r="B110" s="11" t="str">
        <f>CONCATENATE("          ", "6279", " - ", "GENERAL EXPENSE")</f>
        <v xml:space="preserve">          6279 - GENERAL EXPENSE</v>
      </c>
      <c r="C110" s="11"/>
      <c r="D110" s="6">
        <v>2144.19</v>
      </c>
      <c r="E110" s="2"/>
      <c r="F110" s="7">
        <f t="shared" si="54"/>
        <v>1.2627852895393127E-3</v>
      </c>
      <c r="G110" s="2"/>
      <c r="H110" s="6">
        <v>4425</v>
      </c>
      <c r="I110" s="2"/>
      <c r="J110" s="7">
        <f t="shared" si="55"/>
        <v>2.9340524469334346E-3</v>
      </c>
      <c r="K110" s="2"/>
      <c r="L110" s="6">
        <f t="shared" si="56"/>
        <v>-2280.81</v>
      </c>
      <c r="M110" s="2"/>
      <c r="N110" s="7">
        <f t="shared" si="57"/>
        <v>-0.5154372881355932</v>
      </c>
      <c r="O110" s="11"/>
      <c r="P110" s="6">
        <v>32895.54</v>
      </c>
      <c r="Q110" s="2"/>
      <c r="R110" s="7">
        <f t="shared" si="58"/>
        <v>2.8917647013090948E-3</v>
      </c>
      <c r="S110" s="2"/>
      <c r="T110" s="6">
        <v>17585</v>
      </c>
      <c r="U110" s="2"/>
      <c r="V110" s="7">
        <f t="shared" si="59"/>
        <v>1.5060104246581137E-3</v>
      </c>
      <c r="W110" s="2"/>
      <c r="X110" s="6">
        <f t="shared" si="60"/>
        <v>15310.54</v>
      </c>
      <c r="Y110" s="2"/>
      <c r="Z110" s="7">
        <f t="shared" si="61"/>
        <v>0.87065908444697193</v>
      </c>
    </row>
    <row r="111" spans="1:26" s="28" customFormat="1" outlineLevel="1" collapsed="1" x14ac:dyDescent="0.3">
      <c r="A111" s="27"/>
      <c r="B111" s="14" t="str">
        <f>CONCATENATE("     ","Insurance                                         ")</f>
        <v xml:space="preserve">     Insurance                                         </v>
      </c>
      <c r="C111" s="14"/>
      <c r="D111" s="1">
        <f>SUM(OSRRefD22_12x_0)</f>
        <v>11626.43</v>
      </c>
      <c r="E111" s="1"/>
      <c r="F111" s="5">
        <f t="shared" ref="F111:F127" si="62">IF(D$12=0,0,D111/D$12)</f>
        <v>6.8471939398367454E-3</v>
      </c>
      <c r="G111" s="1"/>
      <c r="H111" s="1">
        <f>SUM(OSRRefH22_12x_0)</f>
        <v>11425</v>
      </c>
      <c r="I111" s="1"/>
      <c r="J111" s="5">
        <f t="shared" ref="J111:J127" si="63">IF(H$12=0,0,H111/H$12)</f>
        <v>7.575491346037173E-3</v>
      </c>
      <c r="K111" s="1"/>
      <c r="L111" s="1">
        <f t="shared" ref="L111:L127" si="64">+D111-H111</f>
        <v>201.43000000000029</v>
      </c>
      <c r="M111" s="1"/>
      <c r="N111" s="5">
        <f t="shared" ref="N111:N127" si="65">IF(H111=0,0,L111/H111)</f>
        <v>1.7630634573304185E-2</v>
      </c>
      <c r="O111" s="14"/>
      <c r="P111" s="1">
        <f>SUM(OSRRefP22_12x_0)</f>
        <v>76641.59</v>
      </c>
      <c r="Q111" s="1"/>
      <c r="R111" s="5">
        <f t="shared" ref="R111:R127" si="66">IF(P$12=0,0,P111/P$12)</f>
        <v>6.7373706166308283E-3</v>
      </c>
      <c r="S111" s="1"/>
      <c r="T111" s="1">
        <f>SUM(OSRRefT22_12x_0)</f>
        <v>68550</v>
      </c>
      <c r="U111" s="1"/>
      <c r="V111" s="5">
        <f t="shared" ref="V111:V127" si="67">IF(T$12=0,0,T111/T$12)</f>
        <v>5.8707429405921926E-3</v>
      </c>
      <c r="W111" s="1"/>
      <c r="X111" s="1">
        <f t="shared" ref="X111:X127" si="68">+P111-T111</f>
        <v>8091.5899999999965</v>
      </c>
      <c r="Y111" s="1"/>
      <c r="Z111" s="5">
        <f t="shared" ref="Z111:Z127" si="69">IF(T111=0,0,X111/T111)</f>
        <v>0.11803924142961338</v>
      </c>
    </row>
    <row r="112" spans="1:26" s="24" customFormat="1" hidden="1" outlineLevel="2" x14ac:dyDescent="0.3">
      <c r="A112" s="29"/>
      <c r="B112" s="11" t="str">
        <f>CONCATENATE("          ", "6314", " - ", "LIABILITY INSURANCE")</f>
        <v xml:space="preserve">          6314 - LIABILITY INSURANCE</v>
      </c>
      <c r="C112" s="11"/>
      <c r="D112" s="6">
        <v>11626.43</v>
      </c>
      <c r="E112" s="2"/>
      <c r="F112" s="7">
        <f t="shared" si="62"/>
        <v>6.8471939398367454E-3</v>
      </c>
      <c r="G112" s="2"/>
      <c r="H112" s="6">
        <v>11425</v>
      </c>
      <c r="I112" s="2"/>
      <c r="J112" s="7">
        <f t="shared" si="63"/>
        <v>7.575491346037173E-3</v>
      </c>
      <c r="K112" s="2"/>
      <c r="L112" s="6">
        <f t="shared" si="64"/>
        <v>201.43000000000029</v>
      </c>
      <c r="M112" s="2"/>
      <c r="N112" s="7">
        <f t="shared" si="65"/>
        <v>1.7630634573304185E-2</v>
      </c>
      <c r="O112" s="11"/>
      <c r="P112" s="6">
        <v>76641.59</v>
      </c>
      <c r="Q112" s="2"/>
      <c r="R112" s="7">
        <f t="shared" si="66"/>
        <v>6.7373706166308283E-3</v>
      </c>
      <c r="S112" s="2"/>
      <c r="T112" s="6">
        <v>68550</v>
      </c>
      <c r="U112" s="2"/>
      <c r="V112" s="7">
        <f t="shared" si="67"/>
        <v>5.8707429405921926E-3</v>
      </c>
      <c r="W112" s="2"/>
      <c r="X112" s="6">
        <f t="shared" si="68"/>
        <v>8091.5899999999965</v>
      </c>
      <c r="Y112" s="2"/>
      <c r="Z112" s="7">
        <f t="shared" si="69"/>
        <v>0.11803924142961338</v>
      </c>
    </row>
    <row r="113" spans="1:26" s="28" customFormat="1" outlineLevel="1" collapsed="1" x14ac:dyDescent="0.3">
      <c r="A113" s="27"/>
      <c r="B113" s="14" t="str">
        <f>CONCATENATE("     ","Interest                                          ")</f>
        <v xml:space="preserve">     Interest                                          </v>
      </c>
      <c r="C113" s="14"/>
      <c r="D113" s="1">
        <f>SUM(OSRRefD22_13x_0)</f>
        <v>11158</v>
      </c>
      <c r="E113" s="1"/>
      <c r="F113" s="5">
        <f t="shared" si="62"/>
        <v>6.5713198273845376E-3</v>
      </c>
      <c r="G113" s="1"/>
      <c r="H113" s="1">
        <f>SUM(OSRRefH22_13x_0)</f>
        <v>11158</v>
      </c>
      <c r="I113" s="1"/>
      <c r="J113" s="5">
        <f t="shared" si="63"/>
        <v>7.3984536051713585E-3</v>
      </c>
      <c r="K113" s="1"/>
      <c r="L113" s="1">
        <f t="shared" si="64"/>
        <v>0</v>
      </c>
      <c r="M113" s="1"/>
      <c r="N113" s="5">
        <f t="shared" si="65"/>
        <v>0</v>
      </c>
      <c r="O113" s="14"/>
      <c r="P113" s="1">
        <f>SUM(OSRRefP22_13x_0)</f>
        <v>66158</v>
      </c>
      <c r="Q113" s="1"/>
      <c r="R113" s="5">
        <f t="shared" si="66"/>
        <v>5.8157844227274295E-3</v>
      </c>
      <c r="S113" s="1"/>
      <c r="T113" s="1">
        <f>SUM(OSRRefT22_13x_0)</f>
        <v>66948</v>
      </c>
      <c r="U113" s="1"/>
      <c r="V113" s="5">
        <f t="shared" si="67"/>
        <v>5.7335448342343701E-3</v>
      </c>
      <c r="W113" s="1"/>
      <c r="X113" s="1">
        <f t="shared" si="68"/>
        <v>-790</v>
      </c>
      <c r="Y113" s="1"/>
      <c r="Z113" s="5">
        <f t="shared" si="69"/>
        <v>-1.1800203142737647E-2</v>
      </c>
    </row>
    <row r="114" spans="1:26" s="24" customFormat="1" hidden="1" outlineLevel="2" x14ac:dyDescent="0.3">
      <c r="A114" s="29"/>
      <c r="B114" s="11" t="str">
        <f>CONCATENATE("          ", "6401", " - ", "INTEREST EXPENSE")</f>
        <v xml:space="preserve">          6401 - INTEREST EXPENSE</v>
      </c>
      <c r="C114" s="11"/>
      <c r="D114" s="6">
        <v>11158</v>
      </c>
      <c r="E114" s="2"/>
      <c r="F114" s="7">
        <f t="shared" si="62"/>
        <v>6.5713198273845376E-3</v>
      </c>
      <c r="G114" s="2"/>
      <c r="H114" s="6">
        <v>11158</v>
      </c>
      <c r="I114" s="2"/>
      <c r="J114" s="7">
        <f t="shared" si="63"/>
        <v>7.3984536051713585E-3</v>
      </c>
      <c r="K114" s="2"/>
      <c r="L114" s="6">
        <f t="shared" si="64"/>
        <v>0</v>
      </c>
      <c r="M114" s="2"/>
      <c r="N114" s="7">
        <f t="shared" si="65"/>
        <v>0</v>
      </c>
      <c r="O114" s="11"/>
      <c r="P114" s="6">
        <v>66158</v>
      </c>
      <c r="Q114" s="2"/>
      <c r="R114" s="7">
        <f t="shared" si="66"/>
        <v>5.8157844227274295E-3</v>
      </c>
      <c r="S114" s="2"/>
      <c r="T114" s="6">
        <v>66948</v>
      </c>
      <c r="U114" s="2"/>
      <c r="V114" s="7">
        <f t="shared" si="67"/>
        <v>5.7335448342343701E-3</v>
      </c>
      <c r="W114" s="2"/>
      <c r="X114" s="6">
        <f t="shared" si="68"/>
        <v>-790</v>
      </c>
      <c r="Y114" s="2"/>
      <c r="Z114" s="7">
        <f t="shared" si="69"/>
        <v>-1.1800203142737647E-2</v>
      </c>
    </row>
    <row r="115" spans="1:26" s="28" customFormat="1" outlineLevel="1" collapsed="1" x14ac:dyDescent="0.3">
      <c r="A115" s="27"/>
      <c r="B115" s="14" t="str">
        <f>CONCATENATE("     ","Inventory Adjustment                              ")</f>
        <v xml:space="preserve">     Inventory Adjustment                              </v>
      </c>
      <c r="C115" s="14"/>
      <c r="D115" s="1">
        <f>SUM(OSRRefD22_14x_0)</f>
        <v>9440</v>
      </c>
      <c r="E115" s="1"/>
      <c r="F115" s="5">
        <f t="shared" si="62"/>
        <v>5.5595320998843905E-3</v>
      </c>
      <c r="G115" s="1"/>
      <c r="H115" s="1">
        <f>SUM(OSRRefH22_14x_0)</f>
        <v>9440</v>
      </c>
      <c r="I115" s="1"/>
      <c r="J115" s="5">
        <f t="shared" si="63"/>
        <v>6.259311886791327E-3</v>
      </c>
      <c r="K115" s="1"/>
      <c r="L115" s="1">
        <f t="shared" si="64"/>
        <v>0</v>
      </c>
      <c r="M115" s="1"/>
      <c r="N115" s="5">
        <f t="shared" si="65"/>
        <v>0</v>
      </c>
      <c r="O115" s="14"/>
      <c r="P115" s="1">
        <f>SUM(OSRRefP22_14x_0)</f>
        <v>40240</v>
      </c>
      <c r="Q115" s="1"/>
      <c r="R115" s="5">
        <f t="shared" si="66"/>
        <v>3.5373978229473651E-3</v>
      </c>
      <c r="S115" s="1"/>
      <c r="T115" s="1">
        <f>SUM(OSRRefT22_14x_0)</f>
        <v>40950</v>
      </c>
      <c r="U115" s="1"/>
      <c r="V115" s="5">
        <f t="shared" si="67"/>
        <v>3.5070302467870209E-3</v>
      </c>
      <c r="W115" s="1"/>
      <c r="X115" s="1">
        <f t="shared" si="68"/>
        <v>-710</v>
      </c>
      <c r="Y115" s="1"/>
      <c r="Z115" s="5">
        <f t="shared" si="69"/>
        <v>-1.7338217338217339E-2</v>
      </c>
    </row>
    <row r="116" spans="1:26" s="24" customFormat="1" hidden="1" outlineLevel="2" x14ac:dyDescent="0.3">
      <c r="A116" s="29"/>
      <c r="B116" s="11" t="str">
        <f>CONCATENATE("          ", "6408", " - ", "INVENTORY ADJUSTMENT")</f>
        <v xml:space="preserve">          6408 - INVENTORY ADJUSTMENT</v>
      </c>
      <c r="C116" s="11"/>
      <c r="D116" s="6">
        <v>9440</v>
      </c>
      <c r="E116" s="2"/>
      <c r="F116" s="7">
        <f t="shared" si="62"/>
        <v>5.5595320998843905E-3</v>
      </c>
      <c r="G116" s="2"/>
      <c r="H116" s="6">
        <v>9440</v>
      </c>
      <c r="I116" s="2"/>
      <c r="J116" s="7">
        <f t="shared" si="63"/>
        <v>6.259311886791327E-3</v>
      </c>
      <c r="K116" s="2"/>
      <c r="L116" s="6">
        <f t="shared" si="64"/>
        <v>0</v>
      </c>
      <c r="M116" s="2"/>
      <c r="N116" s="7">
        <f t="shared" si="65"/>
        <v>0</v>
      </c>
      <c r="O116" s="11"/>
      <c r="P116" s="6">
        <v>40240</v>
      </c>
      <c r="Q116" s="2"/>
      <c r="R116" s="7">
        <f t="shared" si="66"/>
        <v>3.5373978229473651E-3</v>
      </c>
      <c r="S116" s="2"/>
      <c r="T116" s="6">
        <v>40950</v>
      </c>
      <c r="U116" s="2"/>
      <c r="V116" s="7">
        <f t="shared" si="67"/>
        <v>3.5070302467870209E-3</v>
      </c>
      <c r="W116" s="2"/>
      <c r="X116" s="6">
        <f t="shared" si="68"/>
        <v>-710</v>
      </c>
      <c r="Y116" s="2"/>
      <c r="Z116" s="7">
        <f t="shared" si="69"/>
        <v>-1.7338217338217339E-2</v>
      </c>
    </row>
    <row r="117" spans="1:26" s="28" customFormat="1" outlineLevel="1" collapsed="1" x14ac:dyDescent="0.3">
      <c r="A117" s="27"/>
      <c r="B117" s="14" t="str">
        <f>CONCATENATE("     ","Professional Services                             ")</f>
        <v xml:space="preserve">     Professional Services                             </v>
      </c>
      <c r="C117" s="14"/>
      <c r="D117" s="1">
        <f>SUM(OSRRefD22_15x_0)</f>
        <v>0</v>
      </c>
      <c r="E117" s="1"/>
      <c r="F117" s="5">
        <f t="shared" si="62"/>
        <v>0</v>
      </c>
      <c r="G117" s="1"/>
      <c r="H117" s="1">
        <f>SUM(OSRRefH22_15x_0)</f>
        <v>0</v>
      </c>
      <c r="I117" s="1"/>
      <c r="J117" s="5">
        <f t="shared" si="63"/>
        <v>0</v>
      </c>
      <c r="K117" s="1"/>
      <c r="L117" s="1">
        <f t="shared" si="64"/>
        <v>0</v>
      </c>
      <c r="M117" s="1"/>
      <c r="N117" s="5">
        <f t="shared" si="65"/>
        <v>0</v>
      </c>
      <c r="O117" s="14"/>
      <c r="P117" s="1">
        <f>SUM(OSRRefP22_15x_0)</f>
        <v>8186.53</v>
      </c>
      <c r="Q117" s="1"/>
      <c r="R117" s="5">
        <f t="shared" si="66"/>
        <v>7.1965739064347141E-4</v>
      </c>
      <c r="S117" s="1"/>
      <c r="T117" s="1">
        <f>SUM(OSRRefT22_15x_0)</f>
        <v>1250</v>
      </c>
      <c r="U117" s="1"/>
      <c r="V117" s="5">
        <f t="shared" si="67"/>
        <v>1.0705220533537914E-4</v>
      </c>
      <c r="W117" s="1"/>
      <c r="X117" s="1">
        <f t="shared" si="68"/>
        <v>6936.53</v>
      </c>
      <c r="Y117" s="1"/>
      <c r="Z117" s="5">
        <f t="shared" si="69"/>
        <v>5.5492239999999997</v>
      </c>
    </row>
    <row r="118" spans="1:26" s="24" customFormat="1" hidden="1" outlineLevel="2" x14ac:dyDescent="0.3">
      <c r="A118" s="29"/>
      <c r="B118" s="11" t="str">
        <f>CONCATENATE("          ", "6336", " - ", "PROFESSIONAL SERVICES")</f>
        <v xml:space="preserve">          6336 - PROFESSIONAL SERVICES</v>
      </c>
      <c r="C118" s="11"/>
      <c r="D118" s="6"/>
      <c r="E118" s="2"/>
      <c r="F118" s="7">
        <f t="shared" si="62"/>
        <v>0</v>
      </c>
      <c r="G118" s="2"/>
      <c r="H118" s="6">
        <v>0</v>
      </c>
      <c r="I118" s="2"/>
      <c r="J118" s="7">
        <f t="shared" si="63"/>
        <v>0</v>
      </c>
      <c r="K118" s="2"/>
      <c r="L118" s="6">
        <f t="shared" si="64"/>
        <v>0</v>
      </c>
      <c r="M118" s="2"/>
      <c r="N118" s="7">
        <f t="shared" si="65"/>
        <v>0</v>
      </c>
      <c r="O118" s="11"/>
      <c r="P118" s="6">
        <v>8186.53</v>
      </c>
      <c r="Q118" s="2"/>
      <c r="R118" s="7">
        <f t="shared" si="66"/>
        <v>7.1965739064347141E-4</v>
      </c>
      <c r="S118" s="2"/>
      <c r="T118" s="6">
        <v>1250</v>
      </c>
      <c r="U118" s="2"/>
      <c r="V118" s="7">
        <f t="shared" si="67"/>
        <v>1.0705220533537914E-4</v>
      </c>
      <c r="W118" s="2"/>
      <c r="X118" s="6">
        <f t="shared" si="68"/>
        <v>6936.53</v>
      </c>
      <c r="Y118" s="2"/>
      <c r="Z118" s="7">
        <f t="shared" si="69"/>
        <v>5.5492239999999997</v>
      </c>
    </row>
    <row r="119" spans="1:26" s="28" customFormat="1" outlineLevel="1" collapsed="1" x14ac:dyDescent="0.3">
      <c r="A119" s="27"/>
      <c r="B119" s="14" t="str">
        <f>CONCATENATE("     ","R/H Commissions                                   ")</f>
        <v xml:space="preserve">     R/H Commissions                                   </v>
      </c>
      <c r="C119" s="14"/>
      <c r="D119" s="1">
        <f>SUM(OSRRefD22_16x_0)</f>
        <v>76752.539999999994</v>
      </c>
      <c r="E119" s="1"/>
      <c r="F119" s="5">
        <f t="shared" si="62"/>
        <v>4.5202140876870835E-2</v>
      </c>
      <c r="G119" s="1"/>
      <c r="H119" s="1">
        <f>SUM(OSRRefH22_16x_0)</f>
        <v>70963</v>
      </c>
      <c r="I119" s="1"/>
      <c r="J119" s="5">
        <f t="shared" si="63"/>
        <v>4.705291837101408E-2</v>
      </c>
      <c r="K119" s="1"/>
      <c r="L119" s="1">
        <f t="shared" si="64"/>
        <v>5789.5399999999936</v>
      </c>
      <c r="M119" s="1"/>
      <c r="N119" s="5">
        <f t="shared" si="65"/>
        <v>8.1585333201809301E-2</v>
      </c>
      <c r="O119" s="14"/>
      <c r="P119" s="1">
        <f>SUM(OSRRefP22_16x_0)</f>
        <v>449668.74</v>
      </c>
      <c r="Q119" s="1"/>
      <c r="R119" s="5">
        <f t="shared" si="66"/>
        <v>3.9529255017979242E-2</v>
      </c>
      <c r="S119" s="1"/>
      <c r="T119" s="1">
        <f>SUM(OSRRefT22_16x_0)</f>
        <v>359107</v>
      </c>
      <c r="U119" s="1"/>
      <c r="V119" s="5">
        <f t="shared" si="67"/>
        <v>3.0754557041097599E-2</v>
      </c>
      <c r="W119" s="1"/>
      <c r="X119" s="1">
        <f t="shared" si="68"/>
        <v>90561.739999999991</v>
      </c>
      <c r="Y119" s="1"/>
      <c r="Z119" s="5">
        <f t="shared" si="69"/>
        <v>0.25218595014856293</v>
      </c>
    </row>
    <row r="120" spans="1:26" s="24" customFormat="1" hidden="1" outlineLevel="2" x14ac:dyDescent="0.3">
      <c r="A120" s="29"/>
      <c r="B120" s="11" t="str">
        <f>CONCATENATE("          ", "6387", " - ", "COMMISSION DUE HOUSING")</f>
        <v xml:space="preserve">          6387 - COMMISSION DUE HOUSING</v>
      </c>
      <c r="C120" s="11"/>
      <c r="D120" s="6">
        <v>76752.539999999994</v>
      </c>
      <c r="E120" s="2"/>
      <c r="F120" s="7">
        <f t="shared" si="62"/>
        <v>4.5202140876870835E-2</v>
      </c>
      <c r="G120" s="2"/>
      <c r="H120" s="6">
        <v>70963</v>
      </c>
      <c r="I120" s="2"/>
      <c r="J120" s="7">
        <f t="shared" si="63"/>
        <v>4.705291837101408E-2</v>
      </c>
      <c r="K120" s="2"/>
      <c r="L120" s="6">
        <f t="shared" si="64"/>
        <v>5789.5399999999936</v>
      </c>
      <c r="M120" s="2"/>
      <c r="N120" s="7">
        <f t="shared" si="65"/>
        <v>8.1585333201809301E-2</v>
      </c>
      <c r="O120" s="11"/>
      <c r="P120" s="6">
        <v>449668.74</v>
      </c>
      <c r="Q120" s="2"/>
      <c r="R120" s="7">
        <f t="shared" si="66"/>
        <v>3.9529255017979242E-2</v>
      </c>
      <c r="S120" s="2"/>
      <c r="T120" s="6">
        <v>359107</v>
      </c>
      <c r="U120" s="2"/>
      <c r="V120" s="7">
        <f t="shared" si="67"/>
        <v>3.0754557041097599E-2</v>
      </c>
      <c r="W120" s="2"/>
      <c r="X120" s="6">
        <f t="shared" si="68"/>
        <v>90561.739999999991</v>
      </c>
      <c r="Y120" s="2"/>
      <c r="Z120" s="7">
        <f t="shared" si="69"/>
        <v>0.25218595014856293</v>
      </c>
    </row>
    <row r="121" spans="1:26" s="28" customFormat="1" outlineLevel="1" collapsed="1" x14ac:dyDescent="0.3">
      <c r="A121" s="27"/>
      <c r="B121" s="14" t="str">
        <f>CONCATENATE("     ","Rent                                              ")</f>
        <v xml:space="preserve">     Rent                                              </v>
      </c>
      <c r="C121" s="14"/>
      <c r="D121" s="1">
        <f>SUM(OSRRefD22_17x_0)</f>
        <v>8750</v>
      </c>
      <c r="E121" s="1"/>
      <c r="F121" s="5">
        <f t="shared" si="62"/>
        <v>5.1531679951258916E-3</v>
      </c>
      <c r="G121" s="1"/>
      <c r="H121" s="1">
        <f>SUM(OSRRefH22_17x_0)</f>
        <v>8750</v>
      </c>
      <c r="I121" s="1"/>
      <c r="J121" s="5">
        <f t="shared" si="63"/>
        <v>5.8017986238796723E-3</v>
      </c>
      <c r="K121" s="1"/>
      <c r="L121" s="1">
        <f t="shared" si="64"/>
        <v>0</v>
      </c>
      <c r="M121" s="1"/>
      <c r="N121" s="5">
        <f t="shared" si="65"/>
        <v>0</v>
      </c>
      <c r="O121" s="14"/>
      <c r="P121" s="1">
        <f>SUM(OSRRefP22_17x_0)</f>
        <v>52500</v>
      </c>
      <c r="Q121" s="1"/>
      <c r="R121" s="5">
        <f t="shared" si="66"/>
        <v>4.6151437799387841E-3</v>
      </c>
      <c r="S121" s="1"/>
      <c r="T121" s="1">
        <f>SUM(OSRRefT22_17x_0)</f>
        <v>52500</v>
      </c>
      <c r="U121" s="1"/>
      <c r="V121" s="5">
        <f t="shared" si="67"/>
        <v>4.496192624085924E-3</v>
      </c>
      <c r="W121" s="1"/>
      <c r="X121" s="1">
        <f t="shared" si="68"/>
        <v>0</v>
      </c>
      <c r="Y121" s="1"/>
      <c r="Z121" s="5">
        <f t="shared" si="69"/>
        <v>0</v>
      </c>
    </row>
    <row r="122" spans="1:26" s="24" customFormat="1" hidden="1" outlineLevel="2" x14ac:dyDescent="0.3">
      <c r="A122" s="29"/>
      <c r="B122" s="11" t="str">
        <f>CONCATENATE("          ", "6273", " - ", "RENT")</f>
        <v xml:space="preserve">          6273 - RENT</v>
      </c>
      <c r="C122" s="11"/>
      <c r="D122" s="6">
        <v>8750</v>
      </c>
      <c r="E122" s="2"/>
      <c r="F122" s="7">
        <f t="shared" si="62"/>
        <v>5.1531679951258916E-3</v>
      </c>
      <c r="G122" s="2"/>
      <c r="H122" s="6">
        <v>8750</v>
      </c>
      <c r="I122" s="2"/>
      <c r="J122" s="7">
        <f t="shared" si="63"/>
        <v>5.8017986238796723E-3</v>
      </c>
      <c r="K122" s="2"/>
      <c r="L122" s="6">
        <f t="shared" si="64"/>
        <v>0</v>
      </c>
      <c r="M122" s="2"/>
      <c r="N122" s="7">
        <f t="shared" si="65"/>
        <v>0</v>
      </c>
      <c r="O122" s="11"/>
      <c r="P122" s="6">
        <v>52500</v>
      </c>
      <c r="Q122" s="2"/>
      <c r="R122" s="7">
        <f t="shared" si="66"/>
        <v>4.6151437799387841E-3</v>
      </c>
      <c r="S122" s="2"/>
      <c r="T122" s="6">
        <v>52500</v>
      </c>
      <c r="U122" s="2"/>
      <c r="V122" s="7">
        <f t="shared" si="67"/>
        <v>4.496192624085924E-3</v>
      </c>
      <c r="W122" s="2"/>
      <c r="X122" s="6">
        <f t="shared" si="68"/>
        <v>0</v>
      </c>
      <c r="Y122" s="2"/>
      <c r="Z122" s="7">
        <f t="shared" si="69"/>
        <v>0</v>
      </c>
    </row>
    <row r="123" spans="1:26" s="28" customFormat="1" outlineLevel="1" collapsed="1" x14ac:dyDescent="0.3">
      <c r="A123" s="27"/>
      <c r="B123" s="14" t="str">
        <f>CONCATENATE("     ","Repair and Maintenance                            ")</f>
        <v xml:space="preserve">     Repair and Maintenance                            </v>
      </c>
      <c r="C123" s="14"/>
      <c r="D123" s="1">
        <f>SUM(OSRRefD22_18x_0)</f>
        <v>22530.019999999997</v>
      </c>
      <c r="E123" s="1"/>
      <c r="F123" s="5">
        <f t="shared" si="62"/>
        <v>1.3268683199262426E-2</v>
      </c>
      <c r="G123" s="1"/>
      <c r="H123" s="1">
        <f>SUM(OSRRefH22_18x_0)</f>
        <v>16534</v>
      </c>
      <c r="I123" s="1"/>
      <c r="J123" s="5">
        <f t="shared" si="63"/>
        <v>1.096307867968303E-2</v>
      </c>
      <c r="K123" s="1"/>
      <c r="L123" s="1">
        <f t="shared" si="64"/>
        <v>5996.0199999999968</v>
      </c>
      <c r="M123" s="1"/>
      <c r="N123" s="5">
        <f t="shared" si="65"/>
        <v>0.36264787710172958</v>
      </c>
      <c r="O123" s="14"/>
      <c r="P123" s="1">
        <f>SUM(OSRRefP22_18x_0)</f>
        <v>302169.27</v>
      </c>
      <c r="Q123" s="1"/>
      <c r="R123" s="5">
        <f t="shared" si="66"/>
        <v>2.6562945274840821E-2</v>
      </c>
      <c r="S123" s="1"/>
      <c r="T123" s="1">
        <f>SUM(OSRRefT22_18x_0)</f>
        <v>301733</v>
      </c>
      <c r="U123" s="1"/>
      <c r="V123" s="5">
        <f t="shared" si="67"/>
        <v>2.5840946457967966E-2</v>
      </c>
      <c r="W123" s="1"/>
      <c r="X123" s="1">
        <f t="shared" si="68"/>
        <v>436.27000000001863</v>
      </c>
      <c r="Y123" s="1"/>
      <c r="Z123" s="5">
        <f t="shared" si="69"/>
        <v>1.4458809609821221E-3</v>
      </c>
    </row>
    <row r="124" spans="1:26" s="24" customFormat="1" hidden="1" outlineLevel="2" x14ac:dyDescent="0.3">
      <c r="A124" s="29"/>
      <c r="B124" s="11" t="str">
        <f>CONCATENATE("          ", "6371", " - ", "COMPUTER SOFTWARE MAINTENANCE")</f>
        <v xml:space="preserve">          6371 - COMPUTER SOFTWARE MAINTENANCE</v>
      </c>
      <c r="C124" s="11"/>
      <c r="D124" s="6">
        <v>4118.3599999999997</v>
      </c>
      <c r="E124" s="2"/>
      <c r="F124" s="7">
        <f t="shared" si="62"/>
        <v>2.4254401079321906E-3</v>
      </c>
      <c r="G124" s="2"/>
      <c r="H124" s="6">
        <v>4500</v>
      </c>
      <c r="I124" s="2"/>
      <c r="J124" s="7">
        <f t="shared" si="63"/>
        <v>2.9837821494238317E-3</v>
      </c>
      <c r="K124" s="2"/>
      <c r="L124" s="6">
        <f t="shared" si="64"/>
        <v>-381.64000000000033</v>
      </c>
      <c r="M124" s="2"/>
      <c r="N124" s="7">
        <f t="shared" si="65"/>
        <v>-8.4808888888888961E-2</v>
      </c>
      <c r="O124" s="11"/>
      <c r="P124" s="6">
        <v>89847.08</v>
      </c>
      <c r="Q124" s="2"/>
      <c r="R124" s="7">
        <f t="shared" si="66"/>
        <v>7.8982322363364259E-3</v>
      </c>
      <c r="S124" s="2"/>
      <c r="T124" s="6">
        <v>193723</v>
      </c>
      <c r="U124" s="2"/>
      <c r="V124" s="7">
        <f t="shared" si="67"/>
        <v>1.6590779499348524E-2</v>
      </c>
      <c r="W124" s="2"/>
      <c r="X124" s="6">
        <f t="shared" si="68"/>
        <v>-103875.92</v>
      </c>
      <c r="Y124" s="2"/>
      <c r="Z124" s="7">
        <f t="shared" si="69"/>
        <v>-0.53620850389473629</v>
      </c>
    </row>
    <row r="125" spans="1:26" s="24" customFormat="1" hidden="1" outlineLevel="2" x14ac:dyDescent="0.3">
      <c r="A125" s="29"/>
      <c r="B125" s="11" t="str">
        <f>CONCATENATE("          ", "6372", " - ", "COMPUTER HARDWARE MAINTENANCE")</f>
        <v xml:space="preserve">          6372 - COMPUTER HARDWARE MAINTENANCE</v>
      </c>
      <c r="C125" s="11"/>
      <c r="D125" s="6"/>
      <c r="E125" s="2"/>
      <c r="F125" s="7">
        <f t="shared" si="62"/>
        <v>0</v>
      </c>
      <c r="G125" s="2"/>
      <c r="H125" s="6">
        <v>6950</v>
      </c>
      <c r="I125" s="2"/>
      <c r="J125" s="7">
        <f t="shared" si="63"/>
        <v>4.6082857641101399E-3</v>
      </c>
      <c r="K125" s="2"/>
      <c r="L125" s="6">
        <f t="shared" si="64"/>
        <v>-6950</v>
      </c>
      <c r="M125" s="2"/>
      <c r="N125" s="7">
        <f t="shared" si="65"/>
        <v>-1</v>
      </c>
      <c r="O125" s="11"/>
      <c r="P125" s="6"/>
      <c r="Q125" s="2"/>
      <c r="R125" s="7">
        <f t="shared" si="66"/>
        <v>0</v>
      </c>
      <c r="S125" s="2"/>
      <c r="T125" s="6">
        <v>38320</v>
      </c>
      <c r="U125" s="2"/>
      <c r="V125" s="7">
        <f t="shared" si="67"/>
        <v>3.2817924067613832E-3</v>
      </c>
      <c r="W125" s="2"/>
      <c r="X125" s="6">
        <f t="shared" si="68"/>
        <v>-38320</v>
      </c>
      <c r="Y125" s="2"/>
      <c r="Z125" s="7">
        <f t="shared" si="69"/>
        <v>-1</v>
      </c>
    </row>
    <row r="126" spans="1:26" s="24" customFormat="1" hidden="1" outlineLevel="2" x14ac:dyDescent="0.3">
      <c r="A126" s="29"/>
      <c r="B126" s="11" t="str">
        <f>CONCATENATE("          ", "6373", " - ", "MAINTENANCE CONTRACTS")</f>
        <v xml:space="preserve">          6373 - MAINTENANCE CONTRACTS</v>
      </c>
      <c r="C126" s="11"/>
      <c r="D126" s="6">
        <v>7565.69</v>
      </c>
      <c r="E126" s="2"/>
      <c r="F126" s="7">
        <f t="shared" si="62"/>
        <v>4.4556881793193148E-3</v>
      </c>
      <c r="G126" s="2"/>
      <c r="H126" s="6">
        <v>2118</v>
      </c>
      <c r="I126" s="2"/>
      <c r="J126" s="7">
        <f t="shared" si="63"/>
        <v>1.4043667983288167E-3</v>
      </c>
      <c r="K126" s="2"/>
      <c r="L126" s="6">
        <f t="shared" si="64"/>
        <v>5447.69</v>
      </c>
      <c r="M126" s="2"/>
      <c r="N126" s="7">
        <f t="shared" si="65"/>
        <v>2.5720915958451367</v>
      </c>
      <c r="O126" s="11"/>
      <c r="P126" s="6">
        <v>149012.81</v>
      </c>
      <c r="Q126" s="2"/>
      <c r="R126" s="7">
        <f t="shared" si="66"/>
        <v>1.3099343680051424E-2</v>
      </c>
      <c r="S126" s="2"/>
      <c r="T126" s="6">
        <v>41651</v>
      </c>
      <c r="U126" s="2"/>
      <c r="V126" s="7">
        <f t="shared" si="67"/>
        <v>3.5670651235391012E-3</v>
      </c>
      <c r="W126" s="2"/>
      <c r="X126" s="6">
        <f t="shared" si="68"/>
        <v>107361.81</v>
      </c>
      <c r="Y126" s="2"/>
      <c r="Z126" s="7">
        <f t="shared" si="69"/>
        <v>2.5776526373916591</v>
      </c>
    </row>
    <row r="127" spans="1:26" s="24" customFormat="1" hidden="1" outlineLevel="2" x14ac:dyDescent="0.3">
      <c r="A127" s="29"/>
      <c r="B127" s="11" t="str">
        <f>CONCATENATE("          ", "6375", " - ", "OUTSIDE REPAIRS &amp; MAINTENANCE")</f>
        <v xml:space="preserve">          6375 - OUTSIDE REPAIRS &amp; MAINTENANCE</v>
      </c>
      <c r="C127" s="11"/>
      <c r="D127" s="6">
        <v>10845.97</v>
      </c>
      <c r="E127" s="2"/>
      <c r="F127" s="7">
        <f t="shared" si="62"/>
        <v>6.3875549120109218E-3</v>
      </c>
      <c r="G127" s="2"/>
      <c r="H127" s="6">
        <v>2966</v>
      </c>
      <c r="I127" s="2"/>
      <c r="J127" s="7">
        <f t="shared" si="63"/>
        <v>1.9666439678202412E-3</v>
      </c>
      <c r="K127" s="2"/>
      <c r="L127" s="6">
        <f t="shared" si="64"/>
        <v>7879.9699999999993</v>
      </c>
      <c r="M127" s="2"/>
      <c r="N127" s="7">
        <f t="shared" si="65"/>
        <v>2.6567666891436277</v>
      </c>
      <c r="O127" s="11"/>
      <c r="P127" s="6">
        <v>63309.38</v>
      </c>
      <c r="Q127" s="2"/>
      <c r="R127" s="7">
        <f t="shared" si="66"/>
        <v>5.5653693584529684E-3</v>
      </c>
      <c r="S127" s="2"/>
      <c r="T127" s="6">
        <v>28039</v>
      </c>
      <c r="U127" s="2"/>
      <c r="V127" s="7">
        <f t="shared" si="67"/>
        <v>2.4013094283189566E-3</v>
      </c>
      <c r="W127" s="2"/>
      <c r="X127" s="6">
        <f t="shared" si="68"/>
        <v>35270.379999999997</v>
      </c>
      <c r="Y127" s="2"/>
      <c r="Z127" s="7">
        <f t="shared" si="69"/>
        <v>1.2579043475159599</v>
      </c>
    </row>
    <row r="128" spans="1:26" s="28" customFormat="1" outlineLevel="1" collapsed="1" x14ac:dyDescent="0.3">
      <c r="A128" s="27"/>
      <c r="B128" s="14" t="str">
        <f>CONCATENATE("     ","Royalty &amp; Commissions                             ")</f>
        <v xml:space="preserve">     Royalty &amp; Commissions                             </v>
      </c>
      <c r="C128" s="14"/>
      <c r="D128" s="1">
        <f>SUM(OSRRefD22_19x_0)</f>
        <v>1533.7</v>
      </c>
      <c r="E128" s="1"/>
      <c r="F128" s="5">
        <f t="shared" ref="F128:F132" si="70">IF(D$12=0,0,D128/D$12)</f>
        <v>9.0324728618566635E-4</v>
      </c>
      <c r="G128" s="1"/>
      <c r="H128" s="1">
        <f>SUM(OSRRefH22_19x_0)</f>
        <v>5518</v>
      </c>
      <c r="I128" s="1"/>
      <c r="J128" s="5">
        <f t="shared" ref="J128:J132" si="71">IF(H$12=0,0,H128/H$12)</f>
        <v>3.6587799778934897E-3</v>
      </c>
      <c r="K128" s="1"/>
      <c r="L128" s="1">
        <f t="shared" ref="L128:L132" si="72">+D128-H128</f>
        <v>-3984.3</v>
      </c>
      <c r="M128" s="1"/>
      <c r="N128" s="5">
        <f t="shared" ref="N128:N132" si="73">IF(H128=0,0,L128/H128)</f>
        <v>-0.7220550924247916</v>
      </c>
      <c r="O128" s="14"/>
      <c r="P128" s="1">
        <f>SUM(OSRRefP22_19x_0)</f>
        <v>23591.84</v>
      </c>
      <c r="Q128" s="1"/>
      <c r="R128" s="5">
        <f t="shared" ref="R128:R132" si="74">IF(P$12=0,0,P128/P$12)</f>
        <v>2.0738996882535428E-3</v>
      </c>
      <c r="S128" s="1"/>
      <c r="T128" s="1">
        <f>SUM(OSRRefT22_19x_0)</f>
        <v>49364</v>
      </c>
      <c r="U128" s="1"/>
      <c r="V128" s="5">
        <f t="shared" ref="V128:V132" si="75">IF(T$12=0,0,T128/T$12)</f>
        <v>4.2276200513405252E-3</v>
      </c>
      <c r="W128" s="1"/>
      <c r="X128" s="1">
        <f t="shared" ref="X128:X132" si="76">+P128-T128</f>
        <v>-25772.16</v>
      </c>
      <c r="Y128" s="1"/>
      <c r="Z128" s="5">
        <f t="shared" ref="Z128:Z132" si="77">IF(T128=0,0,X128/T128)</f>
        <v>-0.52208410987764364</v>
      </c>
    </row>
    <row r="129" spans="1:26" s="24" customFormat="1" hidden="1" outlineLevel="2" x14ac:dyDescent="0.3">
      <c r="A129" s="29"/>
      <c r="B129" s="11" t="str">
        <f>CONCATENATE("          ", "6252", " - ", "ROYALTY DUE CSTV")</f>
        <v xml:space="preserve">          6252 - ROYALTY DUE CSTV</v>
      </c>
      <c r="C129" s="11"/>
      <c r="D129" s="6"/>
      <c r="E129" s="2"/>
      <c r="F129" s="7">
        <f t="shared" si="70"/>
        <v>0</v>
      </c>
      <c r="G129" s="2"/>
      <c r="H129" s="6">
        <v>1906</v>
      </c>
      <c r="I129" s="2"/>
      <c r="J129" s="7">
        <f t="shared" si="71"/>
        <v>1.2637975059559606E-3</v>
      </c>
      <c r="K129" s="2"/>
      <c r="L129" s="6">
        <f t="shared" si="72"/>
        <v>-1906</v>
      </c>
      <c r="M129" s="2"/>
      <c r="N129" s="7">
        <f t="shared" si="73"/>
        <v>-1</v>
      </c>
      <c r="O129" s="11"/>
      <c r="P129" s="6"/>
      <c r="Q129" s="2"/>
      <c r="R129" s="7">
        <f t="shared" si="74"/>
        <v>0</v>
      </c>
      <c r="S129" s="2"/>
      <c r="T129" s="6">
        <v>10230</v>
      </c>
      <c r="U129" s="2"/>
      <c r="V129" s="7">
        <f t="shared" si="75"/>
        <v>8.7611524846474293E-4</v>
      </c>
      <c r="W129" s="2"/>
      <c r="X129" s="6">
        <f t="shared" si="76"/>
        <v>-10230</v>
      </c>
      <c r="Y129" s="2"/>
      <c r="Z129" s="7">
        <f t="shared" si="77"/>
        <v>-1</v>
      </c>
    </row>
    <row r="130" spans="1:26" s="24" customFormat="1" hidden="1" outlineLevel="2" x14ac:dyDescent="0.3">
      <c r="A130" s="29"/>
      <c r="B130" s="11" t="str">
        <f>CONCATENATE("          ", "6253", " - ", "ROYALTY DUE ATHLETICS-LRG")</f>
        <v xml:space="preserve">          6253 - ROYALTY DUE ATHLETICS-LRG</v>
      </c>
      <c r="C130" s="11"/>
      <c r="D130" s="6"/>
      <c r="E130" s="2"/>
      <c r="F130" s="7">
        <f t="shared" si="70"/>
        <v>0</v>
      </c>
      <c r="G130" s="2"/>
      <c r="H130" s="6">
        <v>0</v>
      </c>
      <c r="I130" s="2"/>
      <c r="J130" s="7">
        <f t="shared" si="71"/>
        <v>0</v>
      </c>
      <c r="K130" s="2"/>
      <c r="L130" s="6">
        <f t="shared" si="72"/>
        <v>0</v>
      </c>
      <c r="M130" s="2"/>
      <c r="N130" s="7">
        <f t="shared" si="73"/>
        <v>0</v>
      </c>
      <c r="O130" s="11"/>
      <c r="P130" s="6">
        <v>23160.29</v>
      </c>
      <c r="Q130" s="2"/>
      <c r="R130" s="7">
        <f t="shared" si="74"/>
        <v>2.0359632063824463E-3</v>
      </c>
      <c r="S130" s="2"/>
      <c r="T130" s="6">
        <v>16162</v>
      </c>
      <c r="U130" s="2"/>
      <c r="V130" s="7">
        <f t="shared" si="75"/>
        <v>1.3841421941043182E-3</v>
      </c>
      <c r="W130" s="2"/>
      <c r="X130" s="6">
        <f t="shared" si="76"/>
        <v>6998.2900000000009</v>
      </c>
      <c r="Y130" s="2"/>
      <c r="Z130" s="7">
        <f t="shared" si="77"/>
        <v>0.43300890978839257</v>
      </c>
    </row>
    <row r="131" spans="1:26" s="24" customFormat="1" hidden="1" outlineLevel="2" x14ac:dyDescent="0.3">
      <c r="A131" s="29"/>
      <c r="B131" s="11" t="str">
        <f>CONCATENATE("          ", "6254", " - ", "ROYALTY &amp; COMMISSIONS")</f>
        <v xml:space="preserve">          6254 - ROYALTY &amp; COMMISSIONS</v>
      </c>
      <c r="C131" s="11"/>
      <c r="D131" s="6">
        <v>412.47</v>
      </c>
      <c r="E131" s="2"/>
      <c r="F131" s="7">
        <f t="shared" si="70"/>
        <v>2.4291739462280879E-4</v>
      </c>
      <c r="G131" s="2"/>
      <c r="H131" s="6">
        <v>0</v>
      </c>
      <c r="I131" s="2"/>
      <c r="J131" s="7">
        <f t="shared" si="71"/>
        <v>0</v>
      </c>
      <c r="K131" s="2"/>
      <c r="L131" s="6">
        <f t="shared" si="72"/>
        <v>412.47</v>
      </c>
      <c r="M131" s="2"/>
      <c r="N131" s="7">
        <f t="shared" si="73"/>
        <v>0</v>
      </c>
      <c r="O131" s="11"/>
      <c r="P131" s="6">
        <v>-5182.59</v>
      </c>
      <c r="Q131" s="2"/>
      <c r="R131" s="7">
        <f t="shared" si="74"/>
        <v>-4.5558853338043703E-4</v>
      </c>
      <c r="S131" s="2"/>
      <c r="T131" s="6">
        <v>0</v>
      </c>
      <c r="U131" s="2"/>
      <c r="V131" s="7">
        <f t="shared" si="75"/>
        <v>0</v>
      </c>
      <c r="W131" s="2"/>
      <c r="X131" s="6">
        <f t="shared" si="76"/>
        <v>-5182.59</v>
      </c>
      <c r="Y131" s="2"/>
      <c r="Z131" s="7">
        <f t="shared" si="77"/>
        <v>0</v>
      </c>
    </row>
    <row r="132" spans="1:26" s="24" customFormat="1" hidden="1" outlineLevel="2" x14ac:dyDescent="0.3">
      <c r="A132" s="29"/>
      <c r="B132" s="11" t="str">
        <f>CONCATENATE("          ", "6259", " - ", "ROYALTY &amp; COMMISSIONS")</f>
        <v xml:space="preserve">          6259 - ROYALTY &amp; COMMISSIONS</v>
      </c>
      <c r="C132" s="11"/>
      <c r="D132" s="6">
        <v>1121.23</v>
      </c>
      <c r="E132" s="2"/>
      <c r="F132" s="7">
        <f t="shared" si="70"/>
        <v>6.6032989156285758E-4</v>
      </c>
      <c r="G132" s="2"/>
      <c r="H132" s="6">
        <v>3612</v>
      </c>
      <c r="I132" s="2"/>
      <c r="J132" s="7">
        <f t="shared" si="71"/>
        <v>2.3949824719375289E-3</v>
      </c>
      <c r="K132" s="2"/>
      <c r="L132" s="6">
        <f t="shared" si="72"/>
        <v>-2490.77</v>
      </c>
      <c r="M132" s="2"/>
      <c r="N132" s="7">
        <f t="shared" si="73"/>
        <v>-0.68958194905869319</v>
      </c>
      <c r="O132" s="11"/>
      <c r="P132" s="6">
        <v>5614.14</v>
      </c>
      <c r="Q132" s="2"/>
      <c r="R132" s="7">
        <f t="shared" si="74"/>
        <v>4.9352501525153384E-4</v>
      </c>
      <c r="S132" s="2"/>
      <c r="T132" s="6">
        <v>22972</v>
      </c>
      <c r="U132" s="2"/>
      <c r="V132" s="7">
        <f t="shared" si="75"/>
        <v>1.9673626087714636E-3</v>
      </c>
      <c r="W132" s="2"/>
      <c r="X132" s="6">
        <f t="shared" si="76"/>
        <v>-17357.86</v>
      </c>
      <c r="Y132" s="2"/>
      <c r="Z132" s="7">
        <f t="shared" si="77"/>
        <v>-0.75560943757617971</v>
      </c>
    </row>
    <row r="133" spans="1:26" s="28" customFormat="1" outlineLevel="1" collapsed="1" x14ac:dyDescent="0.3">
      <c r="A133" s="27"/>
      <c r="B133" s="14" t="str">
        <f>CONCATENATE("     ","Services                                          ")</f>
        <v xml:space="preserve">     Services                                          </v>
      </c>
      <c r="C133" s="14"/>
      <c r="D133" s="1">
        <f>SUM(OSRRefD22_20x_0)</f>
        <v>22796.309999999998</v>
      </c>
      <c r="E133" s="1"/>
      <c r="F133" s="5">
        <f t="shared" ref="F133:F138" si="78">IF(D$12=0,0,D133/D$12)</f>
        <v>1.342551029702495E-2</v>
      </c>
      <c r="G133" s="1"/>
      <c r="H133" s="1">
        <f>SUM(OSRRefH22_20x_0)</f>
        <v>36979</v>
      </c>
      <c r="I133" s="1"/>
      <c r="J133" s="5">
        <f t="shared" ref="J133:J138" si="79">IF(H$12=0,0,H133/H$12)</f>
        <v>2.4519395578565306E-2</v>
      </c>
      <c r="K133" s="1"/>
      <c r="L133" s="1">
        <f t="shared" ref="L133:L138" si="80">+D133-H133</f>
        <v>-14182.690000000002</v>
      </c>
      <c r="M133" s="1"/>
      <c r="N133" s="5">
        <f t="shared" ref="N133:N138" si="81">IF(H133=0,0,L133/H133)</f>
        <v>-0.38353362719381279</v>
      </c>
      <c r="O133" s="14"/>
      <c r="P133" s="1">
        <f>SUM(OSRRefP22_20x_0)</f>
        <v>184774.40999999997</v>
      </c>
      <c r="Q133" s="1"/>
      <c r="R133" s="5">
        <f t="shared" ref="R133:R138" si="82">IF(P$12=0,0,P133/P$12)</f>
        <v>1.6243056552444925E-2</v>
      </c>
      <c r="S133" s="1"/>
      <c r="T133" s="1">
        <f>SUM(OSRRefT22_20x_0)</f>
        <v>215782</v>
      </c>
      <c r="U133" s="1"/>
      <c r="V133" s="5">
        <f t="shared" ref="V133:V138" si="83">IF(T$12=0,0,T133/T$12)</f>
        <v>1.8479951177343027E-2</v>
      </c>
      <c r="W133" s="1"/>
      <c r="X133" s="1">
        <f t="shared" ref="X133:X138" si="84">+P133-T133</f>
        <v>-31007.590000000026</v>
      </c>
      <c r="Y133" s="1"/>
      <c r="Z133" s="5">
        <f t="shared" ref="Z133:Z138" si="85">IF(T133=0,0,X133/T133)</f>
        <v>-0.14369868663743976</v>
      </c>
    </row>
    <row r="134" spans="1:26" s="24" customFormat="1" hidden="1" outlineLevel="2" x14ac:dyDescent="0.3">
      <c r="A134" s="29"/>
      <c r="B134" s="11" t="str">
        <f>CONCATENATE("          ", "6282", " - ", "JANITORIAL/EXTERMINATOR EXPENS")</f>
        <v xml:space="preserve">          6282 - JANITORIAL/EXTERMINATOR EXPENS</v>
      </c>
      <c r="C134" s="11"/>
      <c r="D134" s="6">
        <v>2456.15</v>
      </c>
      <c r="E134" s="2"/>
      <c r="F134" s="7">
        <f t="shared" si="78"/>
        <v>1.4465089795689667E-3</v>
      </c>
      <c r="G134" s="2"/>
      <c r="H134" s="6">
        <v>7256</v>
      </c>
      <c r="I134" s="2"/>
      <c r="J134" s="7">
        <f t="shared" si="79"/>
        <v>4.8111829502709607E-3</v>
      </c>
      <c r="K134" s="2"/>
      <c r="L134" s="6">
        <f t="shared" si="80"/>
        <v>-4799.8500000000004</v>
      </c>
      <c r="M134" s="2"/>
      <c r="N134" s="7">
        <f t="shared" si="81"/>
        <v>-0.66150082690187439</v>
      </c>
      <c r="O134" s="11"/>
      <c r="P134" s="6">
        <v>20479.759999999998</v>
      </c>
      <c r="Q134" s="2"/>
      <c r="R134" s="7">
        <f t="shared" si="82"/>
        <v>1.8003245138788399E-3</v>
      </c>
      <c r="S134" s="2"/>
      <c r="T134" s="6">
        <v>43178</v>
      </c>
      <c r="U134" s="2"/>
      <c r="V134" s="7">
        <f t="shared" si="83"/>
        <v>3.6978400975768004E-3</v>
      </c>
      <c r="W134" s="2"/>
      <c r="X134" s="6">
        <f t="shared" si="84"/>
        <v>-22698.240000000002</v>
      </c>
      <c r="Y134" s="2"/>
      <c r="Z134" s="7">
        <f t="shared" si="85"/>
        <v>-0.52568993468896197</v>
      </c>
    </row>
    <row r="135" spans="1:26" s="24" customFormat="1" hidden="1" outlineLevel="2" x14ac:dyDescent="0.3">
      <c r="A135" s="29"/>
      <c r="B135" s="11" t="str">
        <f>CONCATENATE("          ", "6283", " - ", "PLANT SERVICE")</f>
        <v xml:space="preserve">          6283 - PLANT SERVICE</v>
      </c>
      <c r="C135" s="11"/>
      <c r="D135" s="6"/>
      <c r="E135" s="2"/>
      <c r="F135" s="7">
        <f t="shared" si="78"/>
        <v>0</v>
      </c>
      <c r="G135" s="2"/>
      <c r="H135" s="6">
        <v>100</v>
      </c>
      <c r="I135" s="2"/>
      <c r="J135" s="7">
        <f t="shared" si="79"/>
        <v>6.6306269987196254E-5</v>
      </c>
      <c r="K135" s="2"/>
      <c r="L135" s="6">
        <f t="shared" si="80"/>
        <v>-100</v>
      </c>
      <c r="M135" s="2"/>
      <c r="N135" s="7">
        <f t="shared" si="81"/>
        <v>-1</v>
      </c>
      <c r="O135" s="11"/>
      <c r="P135" s="6"/>
      <c r="Q135" s="2"/>
      <c r="R135" s="7">
        <f t="shared" si="82"/>
        <v>0</v>
      </c>
      <c r="S135" s="2"/>
      <c r="T135" s="6">
        <v>600</v>
      </c>
      <c r="U135" s="2"/>
      <c r="V135" s="7">
        <f t="shared" si="83"/>
        <v>5.1385058560981988E-5</v>
      </c>
      <c r="W135" s="2"/>
      <c r="X135" s="6">
        <f t="shared" si="84"/>
        <v>-600</v>
      </c>
      <c r="Y135" s="2"/>
      <c r="Z135" s="7">
        <f t="shared" si="85"/>
        <v>-1</v>
      </c>
    </row>
    <row r="136" spans="1:26" s="24" customFormat="1" hidden="1" outlineLevel="2" x14ac:dyDescent="0.3">
      <c r="A136" s="29"/>
      <c r="B136" s="11" t="str">
        <f>CONCATENATE("          ", "6284", " - ", "TRASH REMOVAL EXPENSE")</f>
        <v xml:space="preserve">          6284 - TRASH REMOVAL EXPENSE</v>
      </c>
      <c r="C136" s="11"/>
      <c r="D136" s="6">
        <v>149.69999999999999</v>
      </c>
      <c r="E136" s="2"/>
      <c r="F136" s="7">
        <f t="shared" si="78"/>
        <v>8.8163342728039541E-5</v>
      </c>
      <c r="G136" s="2"/>
      <c r="H136" s="6">
        <v>1720</v>
      </c>
      <c r="I136" s="2"/>
      <c r="J136" s="7">
        <f t="shared" si="79"/>
        <v>1.1404678437797757E-3</v>
      </c>
      <c r="K136" s="2"/>
      <c r="L136" s="6">
        <f t="shared" si="80"/>
        <v>-1570.3</v>
      </c>
      <c r="M136" s="2"/>
      <c r="N136" s="7">
        <f t="shared" si="81"/>
        <v>-0.91296511627906973</v>
      </c>
      <c r="O136" s="11"/>
      <c r="P136" s="6">
        <v>891.07</v>
      </c>
      <c r="Q136" s="2"/>
      <c r="R136" s="7">
        <f t="shared" si="82"/>
        <v>7.8331736533143861E-5</v>
      </c>
      <c r="S136" s="2"/>
      <c r="T136" s="6">
        <v>10080</v>
      </c>
      <c r="U136" s="2"/>
      <c r="V136" s="7">
        <f t="shared" si="83"/>
        <v>8.6326898382449739E-4</v>
      </c>
      <c r="W136" s="2"/>
      <c r="X136" s="6">
        <f t="shared" si="84"/>
        <v>-9188.93</v>
      </c>
      <c r="Y136" s="2"/>
      <c r="Z136" s="7">
        <f t="shared" si="85"/>
        <v>-0.91160019841269846</v>
      </c>
    </row>
    <row r="137" spans="1:26" s="24" customFormat="1" hidden="1" outlineLevel="2" x14ac:dyDescent="0.3">
      <c r="A137" s="29"/>
      <c r="B137" s="11" t="str">
        <f>CONCATENATE("          ", "6285", " - ", "JANITORIAL SERVICES")</f>
        <v xml:space="preserve">          6285 - JANITORIAL SERVICES</v>
      </c>
      <c r="C137" s="11"/>
      <c r="D137" s="6">
        <v>18038.61</v>
      </c>
      <c r="E137" s="2"/>
      <c r="F137" s="7">
        <f t="shared" si="78"/>
        <v>1.0623541454692327E-2</v>
      </c>
      <c r="G137" s="2"/>
      <c r="H137" s="6">
        <v>22559</v>
      </c>
      <c r="I137" s="2"/>
      <c r="J137" s="7">
        <f t="shared" si="79"/>
        <v>1.4958031446411604E-2</v>
      </c>
      <c r="K137" s="2"/>
      <c r="L137" s="6">
        <f t="shared" si="80"/>
        <v>-4520.3899999999994</v>
      </c>
      <c r="M137" s="2"/>
      <c r="N137" s="7">
        <f t="shared" si="81"/>
        <v>-0.20038077928986212</v>
      </c>
      <c r="O137" s="11"/>
      <c r="P137" s="6">
        <v>145922.85999999999</v>
      </c>
      <c r="Q137" s="2"/>
      <c r="R137" s="7">
        <f t="shared" si="82"/>
        <v>1.2827713898664342E-2</v>
      </c>
      <c r="S137" s="2"/>
      <c r="T137" s="6">
        <v>131046</v>
      </c>
      <c r="U137" s="2"/>
      <c r="V137" s="7">
        <f t="shared" si="83"/>
        <v>1.1223010640304076E-2</v>
      </c>
      <c r="W137" s="2"/>
      <c r="X137" s="6">
        <f t="shared" si="84"/>
        <v>14876.859999999986</v>
      </c>
      <c r="Y137" s="2"/>
      <c r="Z137" s="7">
        <f t="shared" si="85"/>
        <v>0.11352395342093605</v>
      </c>
    </row>
    <row r="138" spans="1:26" s="24" customFormat="1" hidden="1" outlineLevel="2" x14ac:dyDescent="0.3">
      <c r="A138" s="29"/>
      <c r="B138" s="11" t="str">
        <f>CONCATENATE("          ", "6286", " - ", "LAUNDRY EXPENSE")</f>
        <v xml:space="preserve">          6286 - LAUNDRY EXPENSE</v>
      </c>
      <c r="C138" s="11"/>
      <c r="D138" s="6">
        <v>2151.85</v>
      </c>
      <c r="E138" s="2"/>
      <c r="F138" s="7">
        <f t="shared" si="78"/>
        <v>1.2672965200356172E-3</v>
      </c>
      <c r="G138" s="2"/>
      <c r="H138" s="6">
        <v>5344</v>
      </c>
      <c r="I138" s="2"/>
      <c r="J138" s="7">
        <f t="shared" si="79"/>
        <v>3.543407068115768E-3</v>
      </c>
      <c r="K138" s="2"/>
      <c r="L138" s="6">
        <f t="shared" si="80"/>
        <v>-3192.15</v>
      </c>
      <c r="M138" s="2"/>
      <c r="N138" s="7">
        <f t="shared" si="81"/>
        <v>-0.59733345808383231</v>
      </c>
      <c r="O138" s="11"/>
      <c r="P138" s="6">
        <v>17480.72</v>
      </c>
      <c r="Q138" s="2"/>
      <c r="R138" s="7">
        <f t="shared" si="82"/>
        <v>1.5366864033686E-3</v>
      </c>
      <c r="S138" s="2"/>
      <c r="T138" s="6">
        <v>30878</v>
      </c>
      <c r="U138" s="2"/>
      <c r="V138" s="7">
        <f t="shared" si="83"/>
        <v>2.6444463970766697E-3</v>
      </c>
      <c r="W138" s="2"/>
      <c r="X138" s="6">
        <f t="shared" si="84"/>
        <v>-13397.279999999999</v>
      </c>
      <c r="Y138" s="2"/>
      <c r="Z138" s="7">
        <f t="shared" si="85"/>
        <v>-0.43387784182913397</v>
      </c>
    </row>
    <row r="139" spans="1:26" s="28" customFormat="1" outlineLevel="1" collapsed="1" x14ac:dyDescent="0.3">
      <c r="A139" s="27"/>
      <c r="B139" s="14" t="str">
        <f>CONCATENATE("     ","Subscriptions &amp; Dues                              ")</f>
        <v xml:space="preserve">     Subscriptions &amp; Dues                              </v>
      </c>
      <c r="C139" s="14"/>
      <c r="D139" s="1">
        <f>SUM(OSRRefD22_21x_0)</f>
        <v>1742.35</v>
      </c>
      <c r="E139" s="1"/>
      <c r="F139" s="5">
        <f t="shared" ref="F139:F141" si="86">IF(D$12=0,0,D139/D$12)</f>
        <v>1.0261282578637254E-3</v>
      </c>
      <c r="G139" s="1"/>
      <c r="H139" s="1">
        <f>SUM(OSRRefH22_21x_0)</f>
        <v>2056</v>
      </c>
      <c r="I139" s="1"/>
      <c r="J139" s="5">
        <f t="shared" ref="J139:J141" si="87">IF(H$12=0,0,H139/H$12)</f>
        <v>1.363256910936755E-3</v>
      </c>
      <c r="K139" s="1"/>
      <c r="L139" s="1">
        <f t="shared" ref="L139:L141" si="88">+D139-H139</f>
        <v>-313.65000000000009</v>
      </c>
      <c r="M139" s="1"/>
      <c r="N139" s="5">
        <f t="shared" ref="N139:N141" si="89">IF(H139=0,0,L139/H139)</f>
        <v>-0.15255350194552533</v>
      </c>
      <c r="O139" s="14"/>
      <c r="P139" s="1">
        <f>SUM(OSRRefP22_21x_0)</f>
        <v>5364.35</v>
      </c>
      <c r="Q139" s="1"/>
      <c r="R139" s="5">
        <f t="shared" ref="R139:R141" si="90">IF(P$12=0,0,P139/P$12)</f>
        <v>4.7156660068408795E-4</v>
      </c>
      <c r="S139" s="1"/>
      <c r="T139" s="1">
        <f>SUM(OSRRefT22_21x_0)</f>
        <v>11356</v>
      </c>
      <c r="U139" s="1"/>
      <c r="V139" s="5">
        <f t="shared" ref="V139:V141" si="91">IF(T$12=0,0,T139/T$12)</f>
        <v>9.7254787503085239E-4</v>
      </c>
      <c r="W139" s="1"/>
      <c r="X139" s="1">
        <f t="shared" ref="X139:X141" si="92">+P139-T139</f>
        <v>-5991.65</v>
      </c>
      <c r="Y139" s="1"/>
      <c r="Z139" s="5">
        <f t="shared" ref="Z139:Z141" si="93">IF(T139=0,0,X139/T139)</f>
        <v>-0.52761976047904191</v>
      </c>
    </row>
    <row r="140" spans="1:26" s="24" customFormat="1" hidden="1" outlineLevel="2" x14ac:dyDescent="0.3">
      <c r="A140" s="29"/>
      <c r="B140" s="11" t="str">
        <f>CONCATENATE("          ", "6258", " - ", "MEMBERSHIP DUES")</f>
        <v xml:space="preserve">          6258 - MEMBERSHIP DUES</v>
      </c>
      <c r="C140" s="11"/>
      <c r="D140" s="6">
        <v>286.24</v>
      </c>
      <c r="E140" s="2"/>
      <c r="F140" s="7">
        <f t="shared" si="86"/>
        <v>1.6857632079140975E-4</v>
      </c>
      <c r="G140" s="2"/>
      <c r="H140" s="6">
        <v>1385</v>
      </c>
      <c r="I140" s="2"/>
      <c r="J140" s="7">
        <f t="shared" si="87"/>
        <v>9.1834183932266815E-4</v>
      </c>
      <c r="K140" s="2"/>
      <c r="L140" s="6">
        <f t="shared" si="88"/>
        <v>-1098.76</v>
      </c>
      <c r="M140" s="2"/>
      <c r="N140" s="7">
        <f t="shared" si="89"/>
        <v>-0.79332851985559572</v>
      </c>
      <c r="O140" s="11"/>
      <c r="P140" s="6">
        <v>1391.74</v>
      </c>
      <c r="Q140" s="2"/>
      <c r="R140" s="7">
        <f t="shared" si="90"/>
        <v>1.2234438484365719E-4</v>
      </c>
      <c r="S140" s="2"/>
      <c r="T140" s="6">
        <v>7500</v>
      </c>
      <c r="U140" s="2"/>
      <c r="V140" s="7">
        <f t="shared" si="91"/>
        <v>6.4231323201227489E-4</v>
      </c>
      <c r="W140" s="2"/>
      <c r="X140" s="6">
        <f t="shared" si="92"/>
        <v>-6108.26</v>
      </c>
      <c r="Y140" s="2"/>
      <c r="Z140" s="7">
        <f t="shared" si="93"/>
        <v>-0.81443466666666675</v>
      </c>
    </row>
    <row r="141" spans="1:26" s="24" customFormat="1" hidden="1" outlineLevel="2" x14ac:dyDescent="0.3">
      <c r="A141" s="29"/>
      <c r="B141" s="11" t="str">
        <f>CONCATENATE("          ", "6275", " - ", "SUBSCRIPTIONS")</f>
        <v xml:space="preserve">          6275 - SUBSCRIPTIONS</v>
      </c>
      <c r="C141" s="11"/>
      <c r="D141" s="6">
        <v>1456.11</v>
      </c>
      <c r="E141" s="2"/>
      <c r="F141" s="7">
        <f t="shared" si="86"/>
        <v>8.575519370723157E-4</v>
      </c>
      <c r="G141" s="2"/>
      <c r="H141" s="6">
        <v>671</v>
      </c>
      <c r="I141" s="2"/>
      <c r="J141" s="7">
        <f t="shared" si="87"/>
        <v>4.4491507161408689E-4</v>
      </c>
      <c r="K141" s="2"/>
      <c r="L141" s="6">
        <f t="shared" si="88"/>
        <v>785.1099999999999</v>
      </c>
      <c r="M141" s="2"/>
      <c r="N141" s="7">
        <f t="shared" si="89"/>
        <v>1.1700596125186287</v>
      </c>
      <c r="O141" s="11"/>
      <c r="P141" s="6">
        <v>3972.61</v>
      </c>
      <c r="Q141" s="2"/>
      <c r="R141" s="7">
        <f t="shared" si="90"/>
        <v>3.492222158404307E-4</v>
      </c>
      <c r="S141" s="2"/>
      <c r="T141" s="6">
        <v>3856</v>
      </c>
      <c r="U141" s="2"/>
      <c r="V141" s="7">
        <f t="shared" si="91"/>
        <v>3.3023464301857756E-4</v>
      </c>
      <c r="W141" s="2"/>
      <c r="X141" s="6">
        <f t="shared" si="92"/>
        <v>116.61000000000013</v>
      </c>
      <c r="Y141" s="2"/>
      <c r="Z141" s="7">
        <f t="shared" si="93"/>
        <v>3.0241182572614142E-2</v>
      </c>
    </row>
    <row r="142" spans="1:26" s="28" customFormat="1" outlineLevel="1" collapsed="1" x14ac:dyDescent="0.3">
      <c r="A142" s="27"/>
      <c r="B142" s="14" t="str">
        <f>CONCATENATE("     ","Supplies                                          ")</f>
        <v xml:space="preserve">     Supplies                                          </v>
      </c>
      <c r="C142" s="14"/>
      <c r="D142" s="1">
        <f>SUM(OSRRefD22_22x_0)</f>
        <v>37255.919999999998</v>
      </c>
      <c r="E142" s="1"/>
      <c r="F142" s="5">
        <f t="shared" ref="F142:F152" si="94">IF(D$12=0,0,D142/D$12)</f>
        <v>2.1941258808339498E-2</v>
      </c>
      <c r="G142" s="1"/>
      <c r="H142" s="1">
        <f>SUM(OSRRefH22_22x_0)</f>
        <v>46515</v>
      </c>
      <c r="I142" s="1"/>
      <c r="J142" s="5">
        <f t="shared" ref="J142:J152" si="95">IF(H$12=0,0,H142/H$12)</f>
        <v>3.0842361484544341E-2</v>
      </c>
      <c r="K142" s="1"/>
      <c r="L142" s="1">
        <f t="shared" ref="L142:L152" si="96">+D142-H142</f>
        <v>-9259.0800000000017</v>
      </c>
      <c r="M142" s="1"/>
      <c r="N142" s="5">
        <f t="shared" ref="N142:N152" si="97">IF(H142=0,0,L142/H142)</f>
        <v>-0.19905578845533703</v>
      </c>
      <c r="O142" s="14"/>
      <c r="P142" s="1">
        <f>SUM(OSRRefP22_22x_0)</f>
        <v>302101.30999999994</v>
      </c>
      <c r="Q142" s="1"/>
      <c r="R142" s="5">
        <f t="shared" ref="R142:R152" si="98">IF(P$12=0,0,P142/P$12)</f>
        <v>2.6556971081102058E-2</v>
      </c>
      <c r="S142" s="1"/>
      <c r="T142" s="1">
        <f>SUM(OSRRefT22_22x_0)</f>
        <v>314518</v>
      </c>
      <c r="U142" s="1"/>
      <c r="V142" s="5">
        <f t="shared" ref="V142:V152" si="99">IF(T$12=0,0,T142/T$12)</f>
        <v>2.6935876414138221E-2</v>
      </c>
      <c r="W142" s="1"/>
      <c r="X142" s="1">
        <f t="shared" ref="X142:X152" si="100">+P142-T142</f>
        <v>-12416.690000000061</v>
      </c>
      <c r="Y142" s="1"/>
      <c r="Z142" s="5">
        <f t="shared" ref="Z142:Z152" si="101">IF(T142=0,0,X142/T142)</f>
        <v>-3.9478471820372951E-2</v>
      </c>
    </row>
    <row r="143" spans="1:26" s="24" customFormat="1" hidden="1" outlineLevel="2" x14ac:dyDescent="0.3">
      <c r="A143" s="29"/>
      <c r="B143" s="11" t="str">
        <f>CONCATENATE("          ", "6234", " - ", "EXPENDABLE SUPPLIES &amp; EQUIPMEN")</f>
        <v xml:space="preserve">          6234 - EXPENDABLE SUPPLIES &amp; EQUIPMEN</v>
      </c>
      <c r="C143" s="11"/>
      <c r="D143" s="6">
        <v>315</v>
      </c>
      <c r="E143" s="2"/>
      <c r="F143" s="7">
        <f t="shared" si="94"/>
        <v>1.8551404782453211E-4</v>
      </c>
      <c r="G143" s="2"/>
      <c r="H143" s="6">
        <v>6492</v>
      </c>
      <c r="I143" s="2"/>
      <c r="J143" s="7">
        <f t="shared" si="95"/>
        <v>4.3046030475687811E-3</v>
      </c>
      <c r="K143" s="2"/>
      <c r="L143" s="6">
        <f t="shared" si="96"/>
        <v>-6177</v>
      </c>
      <c r="M143" s="2"/>
      <c r="N143" s="7">
        <f t="shared" si="97"/>
        <v>-0.95147874306839186</v>
      </c>
      <c r="O143" s="11"/>
      <c r="P143" s="6">
        <v>6821.44</v>
      </c>
      <c r="Q143" s="2"/>
      <c r="R143" s="7">
        <f t="shared" si="98"/>
        <v>5.9965574069001176E-4</v>
      </c>
      <c r="S143" s="2"/>
      <c r="T143" s="6">
        <v>38452</v>
      </c>
      <c r="U143" s="2"/>
      <c r="V143" s="7">
        <f t="shared" si="99"/>
        <v>3.2930971196447989E-3</v>
      </c>
      <c r="W143" s="2"/>
      <c r="X143" s="6">
        <f t="shared" si="100"/>
        <v>-31630.560000000001</v>
      </c>
      <c r="Y143" s="2"/>
      <c r="Z143" s="7">
        <f t="shared" si="101"/>
        <v>-0.82259856444398216</v>
      </c>
    </row>
    <row r="144" spans="1:26" s="24" customFormat="1" hidden="1" outlineLevel="2" x14ac:dyDescent="0.3">
      <c r="A144" s="29"/>
      <c r="B144" s="11" t="str">
        <f>CONCATENATE("          ", "6235", " - ", "COVID-19 EXPENSES")</f>
        <v xml:space="preserve">          6235 - COVID-19 EXPENSES</v>
      </c>
      <c r="C144" s="11"/>
      <c r="D144" s="6"/>
      <c r="E144" s="2"/>
      <c r="F144" s="7">
        <f t="shared" si="94"/>
        <v>0</v>
      </c>
      <c r="G144" s="2"/>
      <c r="H144" s="6">
        <v>375</v>
      </c>
      <c r="I144" s="2"/>
      <c r="J144" s="7">
        <f t="shared" si="95"/>
        <v>2.4864851245198598E-4</v>
      </c>
      <c r="K144" s="2"/>
      <c r="L144" s="6">
        <f t="shared" si="96"/>
        <v>-375</v>
      </c>
      <c r="M144" s="2"/>
      <c r="N144" s="7">
        <f t="shared" si="97"/>
        <v>-1</v>
      </c>
      <c r="O144" s="11"/>
      <c r="P144" s="6">
        <v>3623.82</v>
      </c>
      <c r="Q144" s="2"/>
      <c r="R144" s="7">
        <f t="shared" si="98"/>
        <v>3.1856095871652887E-4</v>
      </c>
      <c r="S144" s="2"/>
      <c r="T144" s="6">
        <v>2500</v>
      </c>
      <c r="U144" s="2"/>
      <c r="V144" s="7">
        <f t="shared" si="99"/>
        <v>2.1410441067075829E-4</v>
      </c>
      <c r="W144" s="2"/>
      <c r="X144" s="6">
        <f t="shared" si="100"/>
        <v>1123.8200000000002</v>
      </c>
      <c r="Y144" s="2"/>
      <c r="Z144" s="7">
        <f t="shared" si="101"/>
        <v>0.44952800000000004</v>
      </c>
    </row>
    <row r="145" spans="1:26" s="24" customFormat="1" hidden="1" outlineLevel="2" x14ac:dyDescent="0.3">
      <c r="A145" s="29"/>
      <c r="B145" s="11" t="str">
        <f>CONCATENATE("          ", "6237", " - ", "JANITORIAL SUPPLIES")</f>
        <v xml:space="preserve">          6237 - JANITORIAL SUPPLIES</v>
      </c>
      <c r="C145" s="11"/>
      <c r="D145" s="6">
        <v>5627.79</v>
      </c>
      <c r="E145" s="2"/>
      <c r="F145" s="7">
        <f t="shared" si="94"/>
        <v>3.3143939784330907E-3</v>
      </c>
      <c r="G145" s="2"/>
      <c r="H145" s="6">
        <v>10025</v>
      </c>
      <c r="I145" s="2"/>
      <c r="J145" s="7">
        <f t="shared" si="95"/>
        <v>6.6472035662164253E-3</v>
      </c>
      <c r="K145" s="2"/>
      <c r="L145" s="6">
        <f t="shared" si="96"/>
        <v>-4397.21</v>
      </c>
      <c r="M145" s="2"/>
      <c r="N145" s="7">
        <f t="shared" si="97"/>
        <v>-0.43862443890274316</v>
      </c>
      <c r="O145" s="11"/>
      <c r="P145" s="6">
        <v>42115.09</v>
      </c>
      <c r="Q145" s="2"/>
      <c r="R145" s="7">
        <f t="shared" si="98"/>
        <v>3.7022322981916582E-3</v>
      </c>
      <c r="S145" s="2"/>
      <c r="T145" s="6">
        <v>64568</v>
      </c>
      <c r="U145" s="2"/>
      <c r="V145" s="7">
        <f t="shared" si="99"/>
        <v>5.5297174352758084E-3</v>
      </c>
      <c r="W145" s="2"/>
      <c r="X145" s="6">
        <f t="shared" si="100"/>
        <v>-22452.910000000003</v>
      </c>
      <c r="Y145" s="2"/>
      <c r="Z145" s="7">
        <f t="shared" si="101"/>
        <v>-0.34774052162061708</v>
      </c>
    </row>
    <row r="146" spans="1:26" s="24" customFormat="1" hidden="1" outlineLevel="2" x14ac:dyDescent="0.3">
      <c r="A146" s="29"/>
      <c r="B146" s="11" t="str">
        <f>CONCATENATE("          ", "6239", " - ", "KITCHEN SUPPLIES")</f>
        <v xml:space="preserve">          6239 - KITCHEN SUPPLIES</v>
      </c>
      <c r="C146" s="11"/>
      <c r="D146" s="6">
        <v>738.59</v>
      </c>
      <c r="E146" s="2"/>
      <c r="F146" s="7">
        <f t="shared" si="94"/>
        <v>4.3498038280228945E-4</v>
      </c>
      <c r="G146" s="2"/>
      <c r="H146" s="6">
        <v>3700</v>
      </c>
      <c r="I146" s="2"/>
      <c r="J146" s="7">
        <f t="shared" si="95"/>
        <v>2.4533319895262617E-3</v>
      </c>
      <c r="K146" s="2"/>
      <c r="L146" s="6">
        <f t="shared" si="96"/>
        <v>-2961.41</v>
      </c>
      <c r="M146" s="2"/>
      <c r="N146" s="7">
        <f t="shared" si="97"/>
        <v>-0.80038108108108108</v>
      </c>
      <c r="O146" s="11"/>
      <c r="P146" s="6">
        <v>27015.71</v>
      </c>
      <c r="Q146" s="2"/>
      <c r="R146" s="7">
        <f t="shared" si="98"/>
        <v>2.3748835422310478E-3</v>
      </c>
      <c r="S146" s="2"/>
      <c r="T146" s="6">
        <v>33449</v>
      </c>
      <c r="U146" s="2"/>
      <c r="V146" s="7">
        <f t="shared" si="99"/>
        <v>2.8646313730104774E-3</v>
      </c>
      <c r="W146" s="2"/>
      <c r="X146" s="6">
        <f t="shared" si="100"/>
        <v>-6433.2900000000009</v>
      </c>
      <c r="Y146" s="2"/>
      <c r="Z146" s="7">
        <f t="shared" si="101"/>
        <v>-0.19233131035307485</v>
      </c>
    </row>
    <row r="147" spans="1:26" s="24" customFormat="1" hidden="1" outlineLevel="2" x14ac:dyDescent="0.3">
      <c r="A147" s="29"/>
      <c r="B147" s="11" t="str">
        <f>CONCATENATE("          ", "6241", " - ", "OFFICE EXPENSE")</f>
        <v xml:space="preserve">          6241 - OFFICE EXPENSE</v>
      </c>
      <c r="C147" s="11"/>
      <c r="D147" s="6">
        <v>3619.51</v>
      </c>
      <c r="E147" s="2"/>
      <c r="F147" s="7">
        <f t="shared" si="94"/>
        <v>2.1316506388614994E-3</v>
      </c>
      <c r="G147" s="2"/>
      <c r="H147" s="6">
        <v>2525</v>
      </c>
      <c r="I147" s="2"/>
      <c r="J147" s="7">
        <f t="shared" si="95"/>
        <v>1.6742333171767055E-3</v>
      </c>
      <c r="K147" s="2"/>
      <c r="L147" s="6">
        <f t="shared" si="96"/>
        <v>1094.5100000000002</v>
      </c>
      <c r="M147" s="2"/>
      <c r="N147" s="7">
        <f t="shared" si="97"/>
        <v>0.43346930693069313</v>
      </c>
      <c r="O147" s="11"/>
      <c r="P147" s="6">
        <v>44819.59</v>
      </c>
      <c r="Q147" s="2"/>
      <c r="R147" s="7">
        <f t="shared" si="98"/>
        <v>3.9399781334839333E-3</v>
      </c>
      <c r="S147" s="2"/>
      <c r="T147" s="6">
        <v>15877</v>
      </c>
      <c r="U147" s="2"/>
      <c r="V147" s="7">
        <f t="shared" si="99"/>
        <v>1.3597342912878517E-3</v>
      </c>
      <c r="W147" s="2"/>
      <c r="X147" s="6">
        <f t="shared" si="100"/>
        <v>28942.589999999997</v>
      </c>
      <c r="Y147" s="2"/>
      <c r="Z147" s="7">
        <f t="shared" si="101"/>
        <v>1.8229256156704665</v>
      </c>
    </row>
    <row r="148" spans="1:26" s="24" customFormat="1" hidden="1" outlineLevel="2" x14ac:dyDescent="0.3">
      <c r="A148" s="29"/>
      <c r="B148" s="11" t="str">
        <f>CONCATENATE("          ", "6243", " - ", "PAPER SUPPLIES")</f>
        <v xml:space="preserve">          6243 - PAPER SUPPLIES</v>
      </c>
      <c r="C148" s="11"/>
      <c r="D148" s="6">
        <v>21319.1</v>
      </c>
      <c r="E148" s="2"/>
      <c r="F148" s="7">
        <f t="shared" si="94"/>
        <v>1.2555531863415816E-2</v>
      </c>
      <c r="G148" s="2"/>
      <c r="H148" s="6">
        <v>15300</v>
      </c>
      <c r="I148" s="2"/>
      <c r="J148" s="7">
        <f t="shared" si="95"/>
        <v>1.0144859308041028E-2</v>
      </c>
      <c r="K148" s="2"/>
      <c r="L148" s="6">
        <f t="shared" si="96"/>
        <v>6019.0999999999985</v>
      </c>
      <c r="M148" s="2"/>
      <c r="N148" s="7">
        <f t="shared" si="97"/>
        <v>0.39340522875816986</v>
      </c>
      <c r="O148" s="11"/>
      <c r="P148" s="6">
        <v>138082.04999999999</v>
      </c>
      <c r="Q148" s="2"/>
      <c r="R148" s="7">
        <f t="shared" si="98"/>
        <v>1.2138447889118021E-2</v>
      </c>
      <c r="S148" s="2"/>
      <c r="T148" s="6">
        <v>102433</v>
      </c>
      <c r="U148" s="2"/>
      <c r="V148" s="7">
        <f t="shared" si="99"/>
        <v>8.7725428392951138E-3</v>
      </c>
      <c r="W148" s="2"/>
      <c r="X148" s="6">
        <f t="shared" si="100"/>
        <v>35649.049999999988</v>
      </c>
      <c r="Y148" s="2"/>
      <c r="Z148" s="7">
        <f t="shared" si="101"/>
        <v>0.34802309802505038</v>
      </c>
    </row>
    <row r="149" spans="1:26" s="24" customFormat="1" hidden="1" outlineLevel="2" x14ac:dyDescent="0.3">
      <c r="A149" s="29"/>
      <c r="B149" s="11" t="str">
        <f>CONCATENATE("          ", "6244", " - ", "SAFETY SUPPLY EXPENSE")</f>
        <v xml:space="preserve">          6244 - SAFETY SUPPLY EXPENSE</v>
      </c>
      <c r="C149" s="11"/>
      <c r="D149" s="6"/>
      <c r="E149" s="2"/>
      <c r="F149" s="7">
        <f t="shared" si="94"/>
        <v>0</v>
      </c>
      <c r="G149" s="2"/>
      <c r="H149" s="6">
        <v>575</v>
      </c>
      <c r="I149" s="2"/>
      <c r="J149" s="7">
        <f t="shared" si="95"/>
        <v>3.8126105242637849E-4</v>
      </c>
      <c r="K149" s="2"/>
      <c r="L149" s="6">
        <f t="shared" si="96"/>
        <v>-575</v>
      </c>
      <c r="M149" s="2"/>
      <c r="N149" s="7">
        <f t="shared" si="97"/>
        <v>-1</v>
      </c>
      <c r="O149" s="11"/>
      <c r="P149" s="6"/>
      <c r="Q149" s="2"/>
      <c r="R149" s="7">
        <f t="shared" si="98"/>
        <v>0</v>
      </c>
      <c r="S149" s="2"/>
      <c r="T149" s="6">
        <v>3250</v>
      </c>
      <c r="U149" s="2"/>
      <c r="V149" s="7">
        <f t="shared" si="99"/>
        <v>2.7833573387198575E-4</v>
      </c>
      <c r="W149" s="2"/>
      <c r="X149" s="6">
        <f t="shared" si="100"/>
        <v>-3250</v>
      </c>
      <c r="Y149" s="2"/>
      <c r="Z149" s="7">
        <f t="shared" si="101"/>
        <v>-1</v>
      </c>
    </row>
    <row r="150" spans="1:26" s="24" customFormat="1" hidden="1" outlineLevel="2" x14ac:dyDescent="0.3">
      <c r="A150" s="29"/>
      <c r="B150" s="11" t="str">
        <f>CONCATENATE("          ", "6245", " - ", "PRINTING")</f>
        <v xml:space="preserve">          6245 - PRINTING</v>
      </c>
      <c r="C150" s="11"/>
      <c r="D150" s="6">
        <v>1046.49</v>
      </c>
      <c r="E150" s="2"/>
      <c r="F150" s="7">
        <f t="shared" si="94"/>
        <v>6.1631300288220506E-4</v>
      </c>
      <c r="G150" s="2"/>
      <c r="H150" s="6">
        <v>260</v>
      </c>
      <c r="I150" s="2"/>
      <c r="J150" s="7">
        <f t="shared" si="95"/>
        <v>1.7239630196671027E-4</v>
      </c>
      <c r="K150" s="2"/>
      <c r="L150" s="6">
        <f t="shared" si="96"/>
        <v>786.49</v>
      </c>
      <c r="M150" s="2"/>
      <c r="N150" s="7">
        <f t="shared" si="97"/>
        <v>3.0249615384615387</v>
      </c>
      <c r="O150" s="11"/>
      <c r="P150" s="6">
        <v>3182.98</v>
      </c>
      <c r="Q150" s="2"/>
      <c r="R150" s="7">
        <f t="shared" si="98"/>
        <v>2.7980781616513431E-4</v>
      </c>
      <c r="S150" s="2"/>
      <c r="T150" s="6">
        <v>3245</v>
      </c>
      <c r="U150" s="2"/>
      <c r="V150" s="7">
        <f t="shared" si="99"/>
        <v>2.7790752505064427E-4</v>
      </c>
      <c r="W150" s="2"/>
      <c r="X150" s="6">
        <f t="shared" si="100"/>
        <v>-62.019999999999982</v>
      </c>
      <c r="Y150" s="2"/>
      <c r="Z150" s="7">
        <f t="shared" si="101"/>
        <v>-1.9112480739599379E-2</v>
      </c>
    </row>
    <row r="151" spans="1:26" s="24" customFormat="1" hidden="1" outlineLevel="2" x14ac:dyDescent="0.3">
      <c r="A151" s="29"/>
      <c r="B151" s="11" t="str">
        <f>CONCATENATE("          ", "6247", " - ", "STORE SUPPLIES")</f>
        <v xml:space="preserve">          6247 - STORE SUPPLIES</v>
      </c>
      <c r="C151" s="11"/>
      <c r="D151" s="6">
        <v>4589.4399999999996</v>
      </c>
      <c r="E151" s="2"/>
      <c r="F151" s="7">
        <f t="shared" si="94"/>
        <v>2.7028748941200654E-3</v>
      </c>
      <c r="G151" s="2"/>
      <c r="H151" s="6">
        <v>6425</v>
      </c>
      <c r="I151" s="2"/>
      <c r="J151" s="7">
        <f t="shared" si="95"/>
        <v>4.2601778466773597E-3</v>
      </c>
      <c r="K151" s="2"/>
      <c r="L151" s="6">
        <f t="shared" si="96"/>
        <v>-1835.5600000000004</v>
      </c>
      <c r="M151" s="2"/>
      <c r="N151" s="7">
        <f t="shared" si="97"/>
        <v>-0.28569027237354094</v>
      </c>
      <c r="O151" s="11"/>
      <c r="P151" s="6">
        <v>30576.45</v>
      </c>
      <c r="Q151" s="2"/>
      <c r="R151" s="7">
        <f t="shared" si="98"/>
        <v>2.6878992958116045E-3</v>
      </c>
      <c r="S151" s="2"/>
      <c r="T151" s="6">
        <v>44366</v>
      </c>
      <c r="U151" s="2"/>
      <c r="V151" s="7">
        <f t="shared" si="99"/>
        <v>3.7995825135275448E-3</v>
      </c>
      <c r="W151" s="2"/>
      <c r="X151" s="6">
        <f t="shared" si="100"/>
        <v>-13789.55</v>
      </c>
      <c r="Y151" s="2"/>
      <c r="Z151" s="7">
        <f t="shared" si="101"/>
        <v>-0.31081346075823829</v>
      </c>
    </row>
    <row r="152" spans="1:26" s="24" customFormat="1" hidden="1" outlineLevel="2" x14ac:dyDescent="0.3">
      <c r="A152" s="29"/>
      <c r="B152" s="11" t="str">
        <f>CONCATENATE("          ", "6248", " - ", "UNIFORMS")</f>
        <v xml:space="preserve">          6248 - UNIFORMS</v>
      </c>
      <c r="C152" s="11"/>
      <c r="D152" s="6"/>
      <c r="E152" s="2"/>
      <c r="F152" s="7">
        <f t="shared" si="94"/>
        <v>0</v>
      </c>
      <c r="G152" s="2"/>
      <c r="H152" s="6">
        <v>838</v>
      </c>
      <c r="I152" s="2"/>
      <c r="J152" s="7">
        <f t="shared" si="95"/>
        <v>5.5564654249270465E-4</v>
      </c>
      <c r="K152" s="2"/>
      <c r="L152" s="6">
        <f t="shared" si="96"/>
        <v>-838</v>
      </c>
      <c r="M152" s="2"/>
      <c r="N152" s="7">
        <f t="shared" si="97"/>
        <v>-1</v>
      </c>
      <c r="O152" s="11"/>
      <c r="P152" s="6">
        <v>5864.18</v>
      </c>
      <c r="Q152" s="2"/>
      <c r="R152" s="7">
        <f t="shared" si="98"/>
        <v>5.1550540669412226E-4</v>
      </c>
      <c r="S152" s="2"/>
      <c r="T152" s="6">
        <v>6378</v>
      </c>
      <c r="U152" s="2"/>
      <c r="V152" s="7">
        <f t="shared" si="99"/>
        <v>5.4622317250323856E-4</v>
      </c>
      <c r="W152" s="2"/>
      <c r="X152" s="6">
        <f t="shared" si="100"/>
        <v>-513.81999999999971</v>
      </c>
      <c r="Y152" s="2"/>
      <c r="Z152" s="7">
        <f t="shared" si="101"/>
        <v>-8.0561304484164264E-2</v>
      </c>
    </row>
    <row r="153" spans="1:26" s="28" customFormat="1" outlineLevel="1" collapsed="1" x14ac:dyDescent="0.3">
      <c r="A153" s="27"/>
      <c r="B153" s="14" t="str">
        <f>CONCATENATE("     ","Telephone/Data Lines                              ")</f>
        <v xml:space="preserve">     Telephone/Data Lines                              </v>
      </c>
      <c r="C153" s="14"/>
      <c r="D153" s="1">
        <f>SUM(OSRRefD22_23x_0)</f>
        <v>2527.56</v>
      </c>
      <c r="E153" s="1"/>
      <c r="F153" s="5">
        <f t="shared" ref="F153:F155" si="102">IF(D$12=0,0,D153/D$12)</f>
        <v>1.4885647197440456E-3</v>
      </c>
      <c r="G153" s="1"/>
      <c r="H153" s="1">
        <f>SUM(OSRRefH22_23x_0)</f>
        <v>3699</v>
      </c>
      <c r="I153" s="1"/>
      <c r="J153" s="5">
        <f t="shared" ref="J153:J155" si="103">IF(H$12=0,0,H153/H$12)</f>
        <v>2.4526689268263898E-3</v>
      </c>
      <c r="K153" s="1"/>
      <c r="L153" s="1">
        <f t="shared" ref="L153:L155" si="104">+D153-H153</f>
        <v>-1171.44</v>
      </c>
      <c r="M153" s="1"/>
      <c r="N153" s="5">
        <f t="shared" ref="N153:N155" si="105">IF(H153=0,0,L153/H153)</f>
        <v>-0.31669099756690999</v>
      </c>
      <c r="O153" s="14"/>
      <c r="P153" s="1">
        <f>SUM(OSRRefP22_23x_0)</f>
        <v>21111.5</v>
      </c>
      <c r="Q153" s="1"/>
      <c r="R153" s="5">
        <f t="shared" ref="R153:R155" si="106">IF(P$12=0,0,P153/P$12)</f>
        <v>1.8558591982890979E-3</v>
      </c>
      <c r="S153" s="1"/>
      <c r="T153" s="1">
        <f>SUM(OSRRefT22_23x_0)</f>
        <v>22094</v>
      </c>
      <c r="U153" s="1"/>
      <c r="V153" s="5">
        <f t="shared" ref="V153:V155" si="107">IF(T$12=0,0,T153/T$12)</f>
        <v>1.8921691397438935E-3</v>
      </c>
      <c r="W153" s="1"/>
      <c r="X153" s="1">
        <f t="shared" ref="X153:X155" si="108">+P153-T153</f>
        <v>-982.5</v>
      </c>
      <c r="Y153" s="1"/>
      <c r="Z153" s="5">
        <f t="shared" ref="Z153:Z155" si="109">IF(T153=0,0,X153/T153)</f>
        <v>-4.4469086629854257E-2</v>
      </c>
    </row>
    <row r="154" spans="1:26" s="24" customFormat="1" hidden="1" outlineLevel="2" x14ac:dyDescent="0.3">
      <c r="A154" s="29"/>
      <c r="B154" s="11" t="str">
        <f>CONCATENATE("          ", "6303", " - ", "DATA PHONE LINES")</f>
        <v xml:space="preserve">          6303 - DATA PHONE LINES</v>
      </c>
      <c r="C154" s="11"/>
      <c r="D154" s="6"/>
      <c r="E154" s="2"/>
      <c r="F154" s="7">
        <f t="shared" si="102"/>
        <v>0</v>
      </c>
      <c r="G154" s="2"/>
      <c r="H154" s="6">
        <v>243</v>
      </c>
      <c r="I154" s="2"/>
      <c r="J154" s="7">
        <f t="shared" si="103"/>
        <v>1.6112423606888692E-4</v>
      </c>
      <c r="K154" s="2"/>
      <c r="L154" s="6">
        <f t="shared" si="104"/>
        <v>-243</v>
      </c>
      <c r="M154" s="2"/>
      <c r="N154" s="7">
        <f t="shared" si="105"/>
        <v>-1</v>
      </c>
      <c r="O154" s="11"/>
      <c r="P154" s="6">
        <v>295</v>
      </c>
      <c r="Q154" s="2"/>
      <c r="R154" s="7">
        <f t="shared" si="106"/>
        <v>2.5932712668227453E-5</v>
      </c>
      <c r="S154" s="2"/>
      <c r="T154" s="6">
        <v>1458</v>
      </c>
      <c r="U154" s="2"/>
      <c r="V154" s="7">
        <f t="shared" si="107"/>
        <v>1.2486569230318623E-4</v>
      </c>
      <c r="W154" s="2"/>
      <c r="X154" s="6">
        <f t="shared" si="108"/>
        <v>-1163</v>
      </c>
      <c r="Y154" s="2"/>
      <c r="Z154" s="7">
        <f t="shared" si="109"/>
        <v>-0.7976680384087792</v>
      </c>
    </row>
    <row r="155" spans="1:26" s="24" customFormat="1" hidden="1" outlineLevel="2" x14ac:dyDescent="0.3">
      <c r="A155" s="29"/>
      <c r="B155" s="11" t="str">
        <f>CONCATENATE("          ", "6309", " - ", "TELEPHONE")</f>
        <v xml:space="preserve">          6309 - TELEPHONE</v>
      </c>
      <c r="C155" s="11"/>
      <c r="D155" s="6">
        <v>2527.56</v>
      </c>
      <c r="E155" s="2"/>
      <c r="F155" s="7">
        <f t="shared" si="102"/>
        <v>1.4885647197440456E-3</v>
      </c>
      <c r="G155" s="2"/>
      <c r="H155" s="6">
        <v>3456</v>
      </c>
      <c r="I155" s="2"/>
      <c r="J155" s="7">
        <f t="shared" si="103"/>
        <v>2.2915446907575028E-3</v>
      </c>
      <c r="K155" s="2"/>
      <c r="L155" s="6">
        <f t="shared" si="104"/>
        <v>-928.44</v>
      </c>
      <c r="M155" s="2"/>
      <c r="N155" s="7">
        <f t="shared" si="105"/>
        <v>-0.26864583333333336</v>
      </c>
      <c r="O155" s="11"/>
      <c r="P155" s="6">
        <v>20816.5</v>
      </c>
      <c r="Q155" s="2"/>
      <c r="R155" s="7">
        <f t="shared" si="106"/>
        <v>1.8299264856208703E-3</v>
      </c>
      <c r="S155" s="2"/>
      <c r="T155" s="6">
        <v>20636</v>
      </c>
      <c r="U155" s="2"/>
      <c r="V155" s="7">
        <f t="shared" si="107"/>
        <v>1.7673034474407071E-3</v>
      </c>
      <c r="W155" s="2"/>
      <c r="X155" s="6">
        <f t="shared" si="108"/>
        <v>180.5</v>
      </c>
      <c r="Y155" s="2"/>
      <c r="Z155" s="7">
        <f t="shared" si="109"/>
        <v>8.7468501647606119E-3</v>
      </c>
    </row>
    <row r="156" spans="1:26" s="28" customFormat="1" outlineLevel="1" collapsed="1" x14ac:dyDescent="0.3">
      <c r="A156" s="27"/>
      <c r="B156" s="14" t="str">
        <f>CONCATENATE("     ","Training                                          ")</f>
        <v xml:space="preserve">     Training                                          </v>
      </c>
      <c r="C156" s="14"/>
      <c r="D156" s="1">
        <f>SUM(OSRRefD22_24x_0)</f>
        <v>825</v>
      </c>
      <c r="E156" s="1"/>
      <c r="F156" s="5">
        <f t="shared" ref="F156:F161" si="110">IF(D$12=0,0,D156/D$12)</f>
        <v>4.8587012525472695E-4</v>
      </c>
      <c r="G156" s="1"/>
      <c r="H156" s="1">
        <f>SUM(OSRRefH22_24x_0)</f>
        <v>640</v>
      </c>
      <c r="I156" s="1"/>
      <c r="J156" s="5">
        <f t="shared" ref="J156:J161" si="111">IF(H$12=0,0,H156/H$12)</f>
        <v>4.2436012791805607E-4</v>
      </c>
      <c r="K156" s="1"/>
      <c r="L156" s="1">
        <f t="shared" ref="L156:L161" si="112">+D156-H156</f>
        <v>185</v>
      </c>
      <c r="M156" s="1"/>
      <c r="N156" s="5">
        <f t="shared" ref="N156:N161" si="113">IF(H156=0,0,L156/H156)</f>
        <v>0.2890625</v>
      </c>
      <c r="O156" s="14"/>
      <c r="P156" s="1">
        <f>SUM(OSRRefP22_24x_0)</f>
        <v>3665</v>
      </c>
      <c r="Q156" s="1"/>
      <c r="R156" s="5">
        <f t="shared" ref="R156:R161" si="114">IF(P$12=0,0,P156/P$12)</f>
        <v>3.2218098959001224E-4</v>
      </c>
      <c r="S156" s="1"/>
      <c r="T156" s="1">
        <f>SUM(OSRRefT22_24x_0)</f>
        <v>4715</v>
      </c>
      <c r="U156" s="1"/>
      <c r="V156" s="5">
        <f t="shared" ref="V156:V161" si="115">IF(T$12=0,0,T156/T$12)</f>
        <v>4.0380091852505013E-4</v>
      </c>
      <c r="W156" s="1"/>
      <c r="X156" s="1">
        <f t="shared" ref="X156:X161" si="116">+P156-T156</f>
        <v>-1050</v>
      </c>
      <c r="Y156" s="1"/>
      <c r="Z156" s="5">
        <f t="shared" ref="Z156:Z161" si="117">IF(T156=0,0,X156/T156)</f>
        <v>-0.22269353128313893</v>
      </c>
    </row>
    <row r="157" spans="1:26" s="24" customFormat="1" hidden="1" outlineLevel="2" x14ac:dyDescent="0.3">
      <c r="A157" s="29"/>
      <c r="B157" s="11" t="str">
        <f>CONCATENATE("          ", "6376", " - ", "TRAINING")</f>
        <v xml:space="preserve">          6376 - TRAINING</v>
      </c>
      <c r="C157" s="11"/>
      <c r="D157" s="6">
        <v>825</v>
      </c>
      <c r="E157" s="2"/>
      <c r="F157" s="7">
        <f t="shared" si="110"/>
        <v>4.8587012525472695E-4</v>
      </c>
      <c r="G157" s="2"/>
      <c r="H157" s="6">
        <v>640</v>
      </c>
      <c r="I157" s="2"/>
      <c r="J157" s="7">
        <f t="shared" si="111"/>
        <v>4.2436012791805607E-4</v>
      </c>
      <c r="K157" s="2"/>
      <c r="L157" s="6">
        <f t="shared" si="112"/>
        <v>185</v>
      </c>
      <c r="M157" s="2"/>
      <c r="N157" s="7">
        <f t="shared" si="113"/>
        <v>0.2890625</v>
      </c>
      <c r="O157" s="11"/>
      <c r="P157" s="6">
        <v>3665</v>
      </c>
      <c r="Q157" s="2"/>
      <c r="R157" s="7">
        <f t="shared" si="114"/>
        <v>3.2218098959001224E-4</v>
      </c>
      <c r="S157" s="2"/>
      <c r="T157" s="6">
        <v>4715</v>
      </c>
      <c r="U157" s="2"/>
      <c r="V157" s="7">
        <f t="shared" si="115"/>
        <v>4.0380091852505013E-4</v>
      </c>
      <c r="W157" s="2"/>
      <c r="X157" s="6">
        <f t="shared" si="116"/>
        <v>-1050</v>
      </c>
      <c r="Y157" s="2"/>
      <c r="Z157" s="7">
        <f t="shared" si="117"/>
        <v>-0.22269353128313893</v>
      </c>
    </row>
    <row r="158" spans="1:26" s="28" customFormat="1" outlineLevel="1" collapsed="1" x14ac:dyDescent="0.3">
      <c r="A158" s="27"/>
      <c r="B158" s="14" t="str">
        <f>CONCATENATE("     ","Travel                                            ")</f>
        <v xml:space="preserve">     Travel                                            </v>
      </c>
      <c r="C158" s="14"/>
      <c r="D158" s="1">
        <f>SUM(OSRRefD22_25x_0)</f>
        <v>24.4</v>
      </c>
      <c r="E158" s="1"/>
      <c r="F158" s="5">
        <f t="shared" si="110"/>
        <v>1.4369977037836772E-5</v>
      </c>
      <c r="G158" s="1"/>
      <c r="H158" s="1">
        <f>SUM(OSRRefH22_25x_0)</f>
        <v>350</v>
      </c>
      <c r="I158" s="1"/>
      <c r="J158" s="5">
        <f t="shared" si="111"/>
        <v>2.3207194495518692E-4</v>
      </c>
      <c r="K158" s="1"/>
      <c r="L158" s="1">
        <f t="shared" si="112"/>
        <v>-325.60000000000002</v>
      </c>
      <c r="M158" s="1"/>
      <c r="N158" s="5">
        <f t="shared" si="113"/>
        <v>-0.93028571428571438</v>
      </c>
      <c r="O158" s="14"/>
      <c r="P158" s="1">
        <f>SUM(OSRRefP22_25x_0)</f>
        <v>1599.62</v>
      </c>
      <c r="Q158" s="1"/>
      <c r="R158" s="5">
        <f t="shared" si="114"/>
        <v>1.4061859606220338E-4</v>
      </c>
      <c r="S158" s="1"/>
      <c r="T158" s="1">
        <f>SUM(OSRRefT22_25x_0)</f>
        <v>1300</v>
      </c>
      <c r="U158" s="1"/>
      <c r="V158" s="5">
        <f t="shared" si="115"/>
        <v>1.1133429354879431E-4</v>
      </c>
      <c r="W158" s="1"/>
      <c r="X158" s="1">
        <f t="shared" si="116"/>
        <v>299.61999999999989</v>
      </c>
      <c r="Y158" s="1"/>
      <c r="Z158" s="5">
        <f t="shared" si="117"/>
        <v>0.230476923076923</v>
      </c>
    </row>
    <row r="159" spans="1:26" s="24" customFormat="1" hidden="1" outlineLevel="2" x14ac:dyDescent="0.3">
      <c r="A159" s="29"/>
      <c r="B159" s="11" t="str">
        <f>CONCATENATE("          ", "6292", " - ", "TRAVEL/CONFERENCE")</f>
        <v xml:space="preserve">          6292 - TRAVEL/CONFERENCE</v>
      </c>
      <c r="C159" s="11"/>
      <c r="D159" s="6"/>
      <c r="E159" s="2"/>
      <c r="F159" s="7">
        <f t="shared" si="110"/>
        <v>0</v>
      </c>
      <c r="G159" s="2"/>
      <c r="H159" s="6">
        <v>125</v>
      </c>
      <c r="I159" s="2"/>
      <c r="J159" s="7">
        <f t="shared" si="111"/>
        <v>8.2882837483995331E-5</v>
      </c>
      <c r="K159" s="2"/>
      <c r="L159" s="6">
        <f t="shared" si="112"/>
        <v>-125</v>
      </c>
      <c r="M159" s="2"/>
      <c r="N159" s="7">
        <f t="shared" si="113"/>
        <v>-1</v>
      </c>
      <c r="O159" s="11"/>
      <c r="P159" s="6">
        <v>1108.5899999999999</v>
      </c>
      <c r="Q159" s="2"/>
      <c r="R159" s="7">
        <f t="shared" si="114"/>
        <v>9.7453376057187347E-5</v>
      </c>
      <c r="S159" s="2"/>
      <c r="T159" s="6">
        <v>750</v>
      </c>
      <c r="U159" s="2"/>
      <c r="V159" s="7">
        <f t="shared" si="115"/>
        <v>6.4231323201227489E-5</v>
      </c>
      <c r="W159" s="2"/>
      <c r="X159" s="6">
        <f t="shared" si="116"/>
        <v>358.58999999999992</v>
      </c>
      <c r="Y159" s="2"/>
      <c r="Z159" s="7">
        <f t="shared" si="117"/>
        <v>0.47811999999999988</v>
      </c>
    </row>
    <row r="160" spans="1:26" s="24" customFormat="1" hidden="1" outlineLevel="2" x14ac:dyDescent="0.3">
      <c r="A160" s="29"/>
      <c r="B160" s="11" t="str">
        <f>CONCATENATE("          ", "6294", " - ", "TRAVEL OPERATIONAL")</f>
        <v xml:space="preserve">          6294 - TRAVEL OPERATIONAL</v>
      </c>
      <c r="C160" s="11"/>
      <c r="D160" s="6">
        <v>24.4</v>
      </c>
      <c r="E160" s="2"/>
      <c r="F160" s="7">
        <f t="shared" si="110"/>
        <v>1.4369977037836772E-5</v>
      </c>
      <c r="G160" s="2"/>
      <c r="H160" s="6">
        <v>25</v>
      </c>
      <c r="I160" s="2"/>
      <c r="J160" s="7">
        <f t="shared" si="111"/>
        <v>1.6576567496799063E-5</v>
      </c>
      <c r="K160" s="2"/>
      <c r="L160" s="6">
        <f t="shared" si="112"/>
        <v>-0.60000000000000142</v>
      </c>
      <c r="M160" s="2"/>
      <c r="N160" s="7">
        <f t="shared" si="113"/>
        <v>-2.4000000000000056E-2</v>
      </c>
      <c r="O160" s="11"/>
      <c r="P160" s="6">
        <v>239.93</v>
      </c>
      <c r="Q160" s="2"/>
      <c r="R160" s="7">
        <f t="shared" si="114"/>
        <v>2.1091646611823095E-5</v>
      </c>
      <c r="S160" s="2"/>
      <c r="T160" s="6">
        <v>150</v>
      </c>
      <c r="U160" s="2"/>
      <c r="V160" s="7">
        <f t="shared" si="115"/>
        <v>1.2846264640245497E-5</v>
      </c>
      <c r="W160" s="2"/>
      <c r="X160" s="6">
        <f t="shared" si="116"/>
        <v>89.93</v>
      </c>
      <c r="Y160" s="2"/>
      <c r="Z160" s="7">
        <f t="shared" si="117"/>
        <v>0.59953333333333336</v>
      </c>
    </row>
    <row r="161" spans="1:26" s="24" customFormat="1" hidden="1" outlineLevel="2" x14ac:dyDescent="0.3">
      <c r="A161" s="29"/>
      <c r="B161" s="11" t="str">
        <f>CONCATENATE("          ", "6298", " - ", "VEHICLE MILEAGE")</f>
        <v xml:space="preserve">          6298 - VEHICLE MILEAGE</v>
      </c>
      <c r="C161" s="11"/>
      <c r="D161" s="6"/>
      <c r="E161" s="2"/>
      <c r="F161" s="7">
        <f t="shared" si="110"/>
        <v>0</v>
      </c>
      <c r="G161" s="2"/>
      <c r="H161" s="6">
        <v>200</v>
      </c>
      <c r="I161" s="2"/>
      <c r="J161" s="7">
        <f t="shared" si="111"/>
        <v>1.3261253997439251E-4</v>
      </c>
      <c r="K161" s="2"/>
      <c r="L161" s="6">
        <f t="shared" si="112"/>
        <v>-200</v>
      </c>
      <c r="M161" s="2"/>
      <c r="N161" s="7">
        <f t="shared" si="113"/>
        <v>-1</v>
      </c>
      <c r="O161" s="11"/>
      <c r="P161" s="6">
        <v>251.1</v>
      </c>
      <c r="Q161" s="2"/>
      <c r="R161" s="7">
        <f t="shared" si="114"/>
        <v>2.2073573393192926E-5</v>
      </c>
      <c r="S161" s="2"/>
      <c r="T161" s="6">
        <v>400</v>
      </c>
      <c r="U161" s="2"/>
      <c r="V161" s="7">
        <f t="shared" si="115"/>
        <v>3.4256705707321328E-5</v>
      </c>
      <c r="W161" s="2"/>
      <c r="X161" s="6">
        <f t="shared" si="116"/>
        <v>-148.9</v>
      </c>
      <c r="Y161" s="2"/>
      <c r="Z161" s="7">
        <f t="shared" si="117"/>
        <v>-0.37225000000000003</v>
      </c>
    </row>
    <row r="162" spans="1:26" s="28" customFormat="1" outlineLevel="1" collapsed="1" x14ac:dyDescent="0.3">
      <c r="A162" s="27"/>
      <c r="B162" s="14" t="str">
        <f>CONCATENATE("     ","Utilities                                         ")</f>
        <v xml:space="preserve">     Utilities                                         </v>
      </c>
      <c r="C162" s="14"/>
      <c r="D162" s="1">
        <f>SUM(OSRRefD22_26x_0)</f>
        <v>8312.92</v>
      </c>
      <c r="E162" s="1"/>
      <c r="F162" s="5">
        <f t="shared" ref="F162:F163" si="118">IF(D$12=0,0,D162/D$12)</f>
        <v>4.8957569474333638E-3</v>
      </c>
      <c r="G162" s="1"/>
      <c r="H162" s="1">
        <f>SUM(OSRRefH22_26x_0)</f>
        <v>14787</v>
      </c>
      <c r="I162" s="1"/>
      <c r="J162" s="5">
        <f t="shared" ref="J162:J163" si="119">IF(H$12=0,0,H162/H$12)</f>
        <v>9.8047081430067112E-3</v>
      </c>
      <c r="K162" s="1"/>
      <c r="L162" s="1">
        <f t="shared" ref="L162:L163" si="120">+D162-H162</f>
        <v>-6474.08</v>
      </c>
      <c r="M162" s="1"/>
      <c r="N162" s="5">
        <f t="shared" ref="N162:N163" si="121">IF(H162=0,0,L162/H162)</f>
        <v>-0.43782241157773721</v>
      </c>
      <c r="O162" s="14"/>
      <c r="P162" s="1">
        <f>SUM(OSRRefP22_26x_0)</f>
        <v>77346.509999999995</v>
      </c>
      <c r="Q162" s="1"/>
      <c r="R162" s="5">
        <f t="shared" ref="R162:R163" si="122">IF(P$12=0,0,P162/P$12)</f>
        <v>6.7993383719328173E-3</v>
      </c>
      <c r="S162" s="1"/>
      <c r="T162" s="1">
        <f>SUM(OSRRefT22_26x_0)</f>
        <v>88722</v>
      </c>
      <c r="U162" s="1"/>
      <c r="V162" s="5">
        <f t="shared" ref="V162:V163" si="123">IF(T$12=0,0,T162/T$12)</f>
        <v>7.5983086094124066E-3</v>
      </c>
      <c r="W162" s="1"/>
      <c r="X162" s="1">
        <f t="shared" ref="X162:X163" si="124">+P162-T162</f>
        <v>-11375.490000000005</v>
      </c>
      <c r="Y162" s="1"/>
      <c r="Z162" s="5">
        <f t="shared" ref="Z162:Z163" si="125">IF(T162=0,0,X162/T162)</f>
        <v>-0.12821498613647128</v>
      </c>
    </row>
    <row r="163" spans="1:26" s="24" customFormat="1" hidden="1" outlineLevel="2" x14ac:dyDescent="0.3">
      <c r="A163" s="29"/>
      <c r="B163" s="11" t="str">
        <f>CONCATENATE("          ", "6274", " - ", "UTILITIES")</f>
        <v xml:space="preserve">          6274 - UTILITIES</v>
      </c>
      <c r="C163" s="11"/>
      <c r="D163" s="6">
        <v>8312.92</v>
      </c>
      <c r="E163" s="2"/>
      <c r="F163" s="7">
        <f t="shared" si="118"/>
        <v>4.8957569474333638E-3</v>
      </c>
      <c r="G163" s="2"/>
      <c r="H163" s="6">
        <v>14787</v>
      </c>
      <c r="I163" s="2"/>
      <c r="J163" s="7">
        <f t="shared" si="119"/>
        <v>9.8047081430067112E-3</v>
      </c>
      <c r="K163" s="2"/>
      <c r="L163" s="6">
        <f t="shared" si="120"/>
        <v>-6474.08</v>
      </c>
      <c r="M163" s="2"/>
      <c r="N163" s="7">
        <f t="shared" si="121"/>
        <v>-0.43782241157773721</v>
      </c>
      <c r="O163" s="11"/>
      <c r="P163" s="6">
        <v>77346.509999999995</v>
      </c>
      <c r="Q163" s="2"/>
      <c r="R163" s="7">
        <f t="shared" si="122"/>
        <v>6.7993383719328173E-3</v>
      </c>
      <c r="S163" s="2"/>
      <c r="T163" s="6">
        <v>88722</v>
      </c>
      <c r="U163" s="2"/>
      <c r="V163" s="7">
        <f t="shared" si="123"/>
        <v>7.5983086094124066E-3</v>
      </c>
      <c r="W163" s="2"/>
      <c r="X163" s="6">
        <f t="shared" si="124"/>
        <v>-11375.490000000005</v>
      </c>
      <c r="Y163" s="2"/>
      <c r="Z163" s="7">
        <f t="shared" si="125"/>
        <v>-0.12821498613647128</v>
      </c>
    </row>
    <row r="164" spans="1:26" s="55" customFormat="1" x14ac:dyDescent="0.3">
      <c r="A164" s="36"/>
      <c r="B164" s="36"/>
      <c r="C164" s="36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6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collapsed="1" x14ac:dyDescent="0.3">
      <c r="A165" s="10"/>
      <c r="B165" s="25" t="s">
        <v>293</v>
      </c>
      <c r="C165" s="10"/>
      <c r="D165" s="4">
        <f>SUM(OSRRefD25x_0)</f>
        <v>119863.78</v>
      </c>
      <c r="E165" s="4"/>
      <c r="F165" s="12">
        <f t="shared" ref="F165:F173" si="126">IF(D$12=0,0,D165/D$12)</f>
        <v>7.059179369952126E-2</v>
      </c>
      <c r="G165" s="4"/>
      <c r="H165" s="4">
        <f>SUM(OSRRefH25x_0)</f>
        <v>68970</v>
      </c>
      <c r="I165" s="4"/>
      <c r="J165" s="12">
        <f t="shared" ref="J165:J173" si="127">IF(H$12=0,0,H165/H$12)</f>
        <v>4.5731434410169261E-2</v>
      </c>
      <c r="K165" s="4"/>
      <c r="L165" s="4">
        <f t="shared" ref="L165:L173" si="128">+D165-H165</f>
        <v>50893.78</v>
      </c>
      <c r="M165" s="4"/>
      <c r="N165" s="12">
        <f t="shared" ref="N165:N173" si="129">IF(H165=0,0,L165/H165)</f>
        <v>0.73791184573002755</v>
      </c>
      <c r="O165" s="10"/>
      <c r="P165" s="4">
        <f>SUM(OSRRefP25x_0)</f>
        <v>612855.65999999992</v>
      </c>
      <c r="Q165" s="4"/>
      <c r="R165" s="12">
        <f t="shared" ref="R165:R173" si="130">IF(P$12=0,0,P165/P$12)</f>
        <v>5.3874609280938623E-2</v>
      </c>
      <c r="S165" s="4"/>
      <c r="T165" s="4">
        <f>SUM(OSRRefT25x_0)</f>
        <v>428987.5</v>
      </c>
      <c r="U165" s="4"/>
      <c r="V165" s="12">
        <f t="shared" ref="V165:V173" si="131">IF(T$12=0,0,T165/T$12)</f>
        <v>3.6739246349048765E-2</v>
      </c>
      <c r="W165" s="4"/>
      <c r="X165" s="4">
        <f t="shared" ref="X165:X173" si="132">+P165-T165</f>
        <v>183868.15999999992</v>
      </c>
      <c r="Y165" s="4"/>
      <c r="Z165" s="12">
        <f t="shared" ref="Z165:Z173" si="133">IF(T165=0,0,X165/T165)</f>
        <v>0.42860959818176503</v>
      </c>
    </row>
    <row r="166" spans="1:26" s="24" customFormat="1" hidden="1" outlineLevel="1" x14ac:dyDescent="0.3">
      <c r="A166" s="44"/>
      <c r="B166" s="11" t="str">
        <f>CONCATENATE("          ", "4187", " - ", "NON-TAXABLE SALES-COMPUTER REP")</f>
        <v xml:space="preserve">          4187 - NON-TAXABLE SALES-COMPUTER REP</v>
      </c>
      <c r="C166" s="11"/>
      <c r="D166" s="2">
        <f>0</f>
        <v>0</v>
      </c>
      <c r="E166" s="2"/>
      <c r="F166" s="19">
        <f t="shared" si="126"/>
        <v>0</v>
      </c>
      <c r="G166" s="2"/>
      <c r="H166" s="2"/>
      <c r="I166" s="2"/>
      <c r="J166" s="19">
        <f t="shared" si="127"/>
        <v>0</v>
      </c>
      <c r="K166" s="2"/>
      <c r="L166" s="2">
        <f t="shared" si="128"/>
        <v>0</v>
      </c>
      <c r="M166" s="2"/>
      <c r="N166" s="19">
        <f t="shared" si="129"/>
        <v>0</v>
      </c>
      <c r="O166" s="11"/>
      <c r="P166" s="2">
        <f>0</f>
        <v>0</v>
      </c>
      <c r="Q166" s="2"/>
      <c r="R166" s="19">
        <f t="shared" si="130"/>
        <v>0</v>
      </c>
      <c r="S166" s="2"/>
      <c r="T166" s="2"/>
      <c r="U166" s="2"/>
      <c r="V166" s="19">
        <f t="shared" si="131"/>
        <v>0</v>
      </c>
      <c r="W166" s="2"/>
      <c r="X166" s="2">
        <f t="shared" si="132"/>
        <v>0</v>
      </c>
      <c r="Y166" s="2"/>
      <c r="Z166" s="19">
        <f t="shared" si="133"/>
        <v>0</v>
      </c>
    </row>
    <row r="167" spans="1:26" s="24" customFormat="1" hidden="1" outlineLevel="1" x14ac:dyDescent="0.3">
      <c r="A167" s="44"/>
      <c r="B167" s="11" t="str">
        <f>CONCATENATE("          ", "9087", " - ", "")</f>
        <v xml:space="preserve">          9087 - </v>
      </c>
      <c r="C167" s="11"/>
      <c r="D167" s="2">
        <f>--730.08</f>
        <v>730.08</v>
      </c>
      <c r="E167" s="2"/>
      <c r="F167" s="19">
        <f t="shared" si="126"/>
        <v>4.2996855884360131E-4</v>
      </c>
      <c r="G167" s="2"/>
      <c r="H167" s="2"/>
      <c r="I167" s="2"/>
      <c r="J167" s="19">
        <f t="shared" si="127"/>
        <v>0</v>
      </c>
      <c r="K167" s="2"/>
      <c r="L167" s="2">
        <f t="shared" si="128"/>
        <v>730.08</v>
      </c>
      <c r="M167" s="2"/>
      <c r="N167" s="19">
        <f t="shared" si="129"/>
        <v>0</v>
      </c>
      <c r="O167" s="11"/>
      <c r="P167" s="2">
        <f>--337.7</f>
        <v>337.7</v>
      </c>
      <c r="Q167" s="2"/>
      <c r="R167" s="19">
        <f t="shared" si="130"/>
        <v>2.9686362942577661E-5</v>
      </c>
      <c r="S167" s="2"/>
      <c r="T167" s="2"/>
      <c r="U167" s="2"/>
      <c r="V167" s="19">
        <f t="shared" si="131"/>
        <v>0</v>
      </c>
      <c r="W167" s="2"/>
      <c r="X167" s="2">
        <f t="shared" si="132"/>
        <v>337.7</v>
      </c>
      <c r="Y167" s="2"/>
      <c r="Z167" s="19">
        <f t="shared" si="133"/>
        <v>0</v>
      </c>
    </row>
    <row r="168" spans="1:26" s="24" customFormat="1" hidden="1" outlineLevel="1" x14ac:dyDescent="0.3">
      <c r="A168" s="44"/>
      <c r="B168" s="11" t="str">
        <f>CONCATENATE("          ", "9150", " - ", "MISC. INCOME")</f>
        <v xml:space="preserve">          9150 - MISC. INCOME</v>
      </c>
      <c r="C168" s="11"/>
      <c r="D168" s="2">
        <f>--118202.01</f>
        <v>118202.01</v>
      </c>
      <c r="E168" s="2"/>
      <c r="F168" s="19">
        <f t="shared" si="126"/>
        <v>6.9613121701891503E-2</v>
      </c>
      <c r="G168" s="2"/>
      <c r="H168" s="2">
        <v>10637</v>
      </c>
      <c r="I168" s="2"/>
      <c r="J168" s="19">
        <f t="shared" si="127"/>
        <v>7.0529979385380659E-3</v>
      </c>
      <c r="K168" s="2"/>
      <c r="L168" s="2">
        <f t="shared" si="128"/>
        <v>107565.01</v>
      </c>
      <c r="M168" s="2"/>
      <c r="N168" s="19">
        <f t="shared" si="129"/>
        <v>10.112344646046818</v>
      </c>
      <c r="O168" s="11"/>
      <c r="P168" s="2">
        <f>--368179.3</f>
        <v>368179.3</v>
      </c>
      <c r="Q168" s="2"/>
      <c r="R168" s="19">
        <f t="shared" si="130"/>
        <v>3.2365722024708866E-2</v>
      </c>
      <c r="S168" s="2"/>
      <c r="T168" s="2">
        <v>122674</v>
      </c>
      <c r="U168" s="2"/>
      <c r="V168" s="19">
        <f t="shared" si="131"/>
        <v>1.0506017789849841E-2</v>
      </c>
      <c r="W168" s="2"/>
      <c r="X168" s="2">
        <f t="shared" si="132"/>
        <v>245505.3</v>
      </c>
      <c r="Y168" s="2"/>
      <c r="Z168" s="19">
        <f t="shared" si="133"/>
        <v>2.0012822602996558</v>
      </c>
    </row>
    <row r="169" spans="1:26" s="24" customFormat="1" hidden="1" outlineLevel="1" x14ac:dyDescent="0.3">
      <c r="A169" s="44"/>
      <c r="B169" s="11" t="str">
        <f>CONCATENATE("          ", "9151", " - ", "MISC. INCOME")</f>
        <v xml:space="preserve">          9151 - MISC. INCOME</v>
      </c>
      <c r="C169" s="11"/>
      <c r="D169" s="2">
        <f>0</f>
        <v>0</v>
      </c>
      <c r="E169" s="2"/>
      <c r="F169" s="19">
        <f t="shared" si="126"/>
        <v>0</v>
      </c>
      <c r="G169" s="2"/>
      <c r="H169" s="2"/>
      <c r="I169" s="2"/>
      <c r="J169" s="19">
        <f t="shared" si="127"/>
        <v>0</v>
      </c>
      <c r="K169" s="2"/>
      <c r="L169" s="2">
        <f t="shared" si="128"/>
        <v>0</v>
      </c>
      <c r="M169" s="2"/>
      <c r="N169" s="19">
        <f t="shared" si="129"/>
        <v>0</v>
      </c>
      <c r="O169" s="11"/>
      <c r="P169" s="2">
        <f>--168463.36</f>
        <v>168463.35999999999</v>
      </c>
      <c r="Q169" s="2"/>
      <c r="R169" s="19">
        <f t="shared" si="130"/>
        <v>1.4809192915268344E-2</v>
      </c>
      <c r="S169" s="2"/>
      <c r="T169" s="2">
        <v>247980.5</v>
      </c>
      <c r="U169" s="2"/>
      <c r="V169" s="19">
        <f t="shared" si="131"/>
        <v>2.1237487524135991E-2</v>
      </c>
      <c r="W169" s="2"/>
      <c r="X169" s="2">
        <f t="shared" si="132"/>
        <v>-79517.140000000014</v>
      </c>
      <c r="Y169" s="2"/>
      <c r="Z169" s="19">
        <f t="shared" si="133"/>
        <v>-0.32065884212669954</v>
      </c>
    </row>
    <row r="170" spans="1:26" s="24" customFormat="1" hidden="1" outlineLevel="1" x14ac:dyDescent="0.3">
      <c r="A170" s="44"/>
      <c r="B170" s="11" t="str">
        <f>CONCATENATE("          ", "9152", " - ", "MISC. INCOME")</f>
        <v xml:space="preserve">          9152 - MISC. INCOME</v>
      </c>
      <c r="C170" s="11"/>
      <c r="D170" s="2">
        <f>--931.69</f>
        <v>931.69</v>
      </c>
      <c r="E170" s="2"/>
      <c r="F170" s="19">
        <f t="shared" si="126"/>
        <v>5.4870343878615346E-4</v>
      </c>
      <c r="G170" s="2"/>
      <c r="H170" s="2"/>
      <c r="I170" s="2"/>
      <c r="J170" s="19">
        <f t="shared" si="127"/>
        <v>0</v>
      </c>
      <c r="K170" s="2"/>
      <c r="L170" s="2">
        <f t="shared" si="128"/>
        <v>931.69</v>
      </c>
      <c r="M170" s="2"/>
      <c r="N170" s="19">
        <f t="shared" si="129"/>
        <v>0</v>
      </c>
      <c r="O170" s="11"/>
      <c r="P170" s="2">
        <f>--3127.1</f>
        <v>3127.1</v>
      </c>
      <c r="Q170" s="2"/>
      <c r="R170" s="19">
        <f t="shared" si="130"/>
        <v>2.7489554503326802E-4</v>
      </c>
      <c r="S170" s="2"/>
      <c r="T170" s="2"/>
      <c r="U170" s="2"/>
      <c r="V170" s="19">
        <f t="shared" si="131"/>
        <v>0</v>
      </c>
      <c r="W170" s="2"/>
      <c r="X170" s="2">
        <f t="shared" si="132"/>
        <v>3127.1</v>
      </c>
      <c r="Y170" s="2"/>
      <c r="Z170" s="19">
        <f t="shared" si="133"/>
        <v>0</v>
      </c>
    </row>
    <row r="171" spans="1:26" s="24" customFormat="1" hidden="1" outlineLevel="1" x14ac:dyDescent="0.3">
      <c r="A171" s="44"/>
      <c r="B171" s="11" t="str">
        <f>CONCATENATE("          ", "9160", " - ", "MISC. INCOME")</f>
        <v xml:space="preserve">          9160 - MISC. INCOME</v>
      </c>
      <c r="C171" s="11"/>
      <c r="D171" s="2">
        <f t="shared" ref="D171:D173" si="134">0</f>
        <v>0</v>
      </c>
      <c r="E171" s="2"/>
      <c r="F171" s="19">
        <f t="shared" si="126"/>
        <v>0</v>
      </c>
      <c r="G171" s="2"/>
      <c r="H171" s="2">
        <v>58333</v>
      </c>
      <c r="I171" s="2"/>
      <c r="J171" s="19">
        <f t="shared" si="127"/>
        <v>3.8678436471631196E-2</v>
      </c>
      <c r="K171" s="2"/>
      <c r="L171" s="2">
        <f t="shared" si="128"/>
        <v>-58333</v>
      </c>
      <c r="M171" s="2"/>
      <c r="N171" s="19">
        <f t="shared" si="129"/>
        <v>-1</v>
      </c>
      <c r="O171" s="11"/>
      <c r="P171" s="2">
        <f>0</f>
        <v>0</v>
      </c>
      <c r="Q171" s="2"/>
      <c r="R171" s="19">
        <f t="shared" si="130"/>
        <v>0</v>
      </c>
      <c r="S171" s="2"/>
      <c r="T171" s="2">
        <v>58333</v>
      </c>
      <c r="U171" s="2"/>
      <c r="V171" s="19">
        <f t="shared" si="131"/>
        <v>4.9957410350629375E-3</v>
      </c>
      <c r="W171" s="2"/>
      <c r="X171" s="2">
        <f t="shared" si="132"/>
        <v>-58333</v>
      </c>
      <c r="Y171" s="2"/>
      <c r="Z171" s="19">
        <f t="shared" si="133"/>
        <v>-1</v>
      </c>
    </row>
    <row r="172" spans="1:26" s="24" customFormat="1" hidden="1" outlineLevel="1" x14ac:dyDescent="0.3">
      <c r="A172" s="44"/>
      <c r="B172" s="11" t="str">
        <f>CONCATENATE("          ", "9163", " - ", "MISC. INCOME")</f>
        <v xml:space="preserve">          9163 - MISC. INCOME</v>
      </c>
      <c r="C172" s="11"/>
      <c r="D172" s="2">
        <f t="shared" si="134"/>
        <v>0</v>
      </c>
      <c r="E172" s="2"/>
      <c r="F172" s="19">
        <f t="shared" si="126"/>
        <v>0</v>
      </c>
      <c r="G172" s="2"/>
      <c r="H172" s="2"/>
      <c r="I172" s="2"/>
      <c r="J172" s="19">
        <f t="shared" si="127"/>
        <v>0</v>
      </c>
      <c r="K172" s="2"/>
      <c r="L172" s="2">
        <f t="shared" si="128"/>
        <v>0</v>
      </c>
      <c r="M172" s="2"/>
      <c r="N172" s="19">
        <f t="shared" si="129"/>
        <v>0</v>
      </c>
      <c r="O172" s="11"/>
      <c r="P172" s="2">
        <f>--72748.2</f>
        <v>72748.2</v>
      </c>
      <c r="Q172" s="2"/>
      <c r="R172" s="19">
        <f t="shared" si="130"/>
        <v>6.3951124329855741E-3</v>
      </c>
      <c r="S172" s="2"/>
      <c r="T172" s="2"/>
      <c r="U172" s="2"/>
      <c r="V172" s="19">
        <f t="shared" si="131"/>
        <v>0</v>
      </c>
      <c r="W172" s="2"/>
      <c r="X172" s="2">
        <f t="shared" si="132"/>
        <v>72748.2</v>
      </c>
      <c r="Y172" s="2"/>
      <c r="Z172" s="19">
        <f t="shared" si="133"/>
        <v>0</v>
      </c>
    </row>
    <row r="173" spans="1:26" s="24" customFormat="1" hidden="1" outlineLevel="1" x14ac:dyDescent="0.3">
      <c r="A173" s="44"/>
      <c r="B173" s="11" t="str">
        <f>CONCATENATE("          ", "9165", " - ", "OTHER INCOME")</f>
        <v xml:space="preserve">          9165 - OTHER INCOME</v>
      </c>
      <c r="C173" s="11"/>
      <c r="D173" s="2">
        <f t="shared" si="134"/>
        <v>0</v>
      </c>
      <c r="E173" s="2"/>
      <c r="F173" s="19">
        <f t="shared" si="126"/>
        <v>0</v>
      </c>
      <c r="G173" s="2"/>
      <c r="H173" s="2"/>
      <c r="I173" s="2"/>
      <c r="J173" s="19">
        <f t="shared" si="127"/>
        <v>0</v>
      </c>
      <c r="K173" s="2"/>
      <c r="L173" s="2">
        <f t="shared" si="128"/>
        <v>0</v>
      </c>
      <c r="M173" s="2"/>
      <c r="N173" s="19">
        <f t="shared" si="129"/>
        <v>0</v>
      </c>
      <c r="O173" s="11"/>
      <c r="P173" s="2">
        <f>0</f>
        <v>0</v>
      </c>
      <c r="Q173" s="2"/>
      <c r="R173" s="19">
        <f t="shared" si="130"/>
        <v>0</v>
      </c>
      <c r="S173" s="2"/>
      <c r="T173" s="2"/>
      <c r="U173" s="2"/>
      <c r="V173" s="19">
        <f t="shared" si="131"/>
        <v>0</v>
      </c>
      <c r="W173" s="2"/>
      <c r="X173" s="2">
        <f t="shared" si="132"/>
        <v>0</v>
      </c>
      <c r="Y173" s="2"/>
      <c r="Z173" s="19">
        <f t="shared" si="133"/>
        <v>0</v>
      </c>
    </row>
    <row r="174" spans="1:26" x14ac:dyDescent="0.3">
      <c r="A174" s="9"/>
      <c r="B174" s="10"/>
      <c r="C174" s="10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O174" s="10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x14ac:dyDescent="0.3">
      <c r="A175" s="10"/>
      <c r="B175" s="26" t="s">
        <v>277</v>
      </c>
      <c r="C175" s="26"/>
      <c r="D175" s="20">
        <f>+D62-D64+D165</f>
        <v>201021.22000000041</v>
      </c>
      <c r="E175" s="13"/>
      <c r="F175" s="22">
        <f>IF(D$12=0,0,D175/D$12)</f>
        <v>0.11838812768516148</v>
      </c>
      <c r="G175" s="13"/>
      <c r="H175" s="20">
        <f>+H62-H64+H165</f>
        <v>-23650.294636932784</v>
      </c>
      <c r="I175" s="13"/>
      <c r="J175" s="22">
        <f>IF(H$12=0,0,H175/H$12)</f>
        <v>-1.5681628214732048E-2</v>
      </c>
      <c r="K175" s="16"/>
      <c r="L175" s="20">
        <f>+D175-H175</f>
        <v>224671.51463693319</v>
      </c>
      <c r="M175" s="16"/>
      <c r="N175" s="22">
        <f>IF(H175=0,0,L175/H175)</f>
        <v>-9.4997342775629345</v>
      </c>
      <c r="O175" s="25"/>
      <c r="P175" s="20">
        <f>+P62-P64+P165</f>
        <v>1067389.4000000001</v>
      </c>
      <c r="Q175" s="13"/>
      <c r="R175" s="22">
        <f>IF(P$12=0,0,P175/P$12)</f>
        <v>9.383153428919222E-2</v>
      </c>
      <c r="S175" s="13"/>
      <c r="T175" s="20">
        <f>+T62-T64+T165</f>
        <v>-269973.67728095409</v>
      </c>
      <c r="U175" s="13"/>
      <c r="V175" s="22">
        <f>IF(T$12=0,0,T175/T$12)</f>
        <v>-2.3121022028342465E-2</v>
      </c>
      <c r="W175" s="16"/>
      <c r="X175" s="20">
        <f>+P175-T175</f>
        <v>1337363.0772809542</v>
      </c>
      <c r="Y175" s="16"/>
      <c r="Z175" s="22">
        <f>IF(T175=0,0,X175/T175)</f>
        <v>-4.9536795244271081</v>
      </c>
    </row>
    <row r="176" spans="1:26" x14ac:dyDescent="0.3">
      <c r="A176" s="9"/>
      <c r="B176" s="10"/>
      <c r="C176" s="9"/>
      <c r="D176" s="3"/>
      <c r="E176" s="3"/>
      <c r="F176" s="8"/>
      <c r="G176" s="3"/>
      <c r="H176" s="3"/>
      <c r="I176" s="3"/>
      <c r="J176" s="8"/>
      <c r="K176" s="3"/>
      <c r="L176" s="3"/>
      <c r="M176" s="3"/>
      <c r="N176" s="8"/>
      <c r="P176" s="3"/>
      <c r="Q176" s="3"/>
      <c r="R176" s="8"/>
      <c r="S176" s="3"/>
      <c r="T176" s="3"/>
      <c r="U176" s="3"/>
      <c r="V176" s="8"/>
      <c r="W176" s="3"/>
      <c r="X176" s="3"/>
      <c r="Y176" s="3"/>
      <c r="Z176" s="8"/>
    </row>
    <row r="177" spans="1:26" s="23" customFormat="1" x14ac:dyDescent="0.3">
      <c r="A177" s="52"/>
      <c r="B177" s="10" t="s">
        <v>128</v>
      </c>
      <c r="C177" s="10"/>
      <c r="D177" s="4">
        <v>216572.45</v>
      </c>
      <c r="E177" s="4"/>
      <c r="F177" s="12">
        <f>IF(D$12=0,0,D177/D$12)</f>
        <v>0.12754676776754315</v>
      </c>
      <c r="G177" s="4"/>
      <c r="H177" s="4">
        <v>240600</v>
      </c>
      <c r="I177" s="4"/>
      <c r="J177" s="12">
        <f>IF(H$12=0,0,H177/H$12)</f>
        <v>0.15953288558919421</v>
      </c>
      <c r="K177" s="4"/>
      <c r="L177" s="4">
        <f>+D177-H177</f>
        <v>-24027.549999999988</v>
      </c>
      <c r="M177" s="4"/>
      <c r="N177" s="12">
        <f>IF(H177=0,0,L177/H177)</f>
        <v>-9.9865128844555229E-2</v>
      </c>
      <c r="O177" s="10"/>
      <c r="P177" s="4">
        <v>1369289.3</v>
      </c>
      <c r="Q177" s="4"/>
      <c r="R177" s="12">
        <f>IF(P$12=0,0,P177/P$12)</f>
        <v>0.12037079992060441</v>
      </c>
      <c r="S177" s="4"/>
      <c r="T177" s="4">
        <v>1511776</v>
      </c>
      <c r="U177" s="4"/>
      <c r="V177" s="12">
        <f>IF(T$12=0,0,T177/T$12)</f>
        <v>0.12947116381847851</v>
      </c>
      <c r="W177" s="4"/>
      <c r="X177" s="4">
        <f>+P177-T177</f>
        <v>-142486.69999999995</v>
      </c>
      <c r="Y177" s="4"/>
      <c r="Z177" s="12">
        <f>IF(T177=0,0,X177/T177)</f>
        <v>-9.4251198590267316E-2</v>
      </c>
    </row>
    <row r="178" spans="1:26" x14ac:dyDescent="0.3">
      <c r="A178" s="9"/>
      <c r="B178" s="10"/>
      <c r="C178" s="10"/>
      <c r="D178" s="3"/>
      <c r="E178" s="3"/>
      <c r="F178" s="8"/>
      <c r="G178" s="3"/>
      <c r="H178" s="3"/>
      <c r="I178" s="3"/>
      <c r="J178" s="8"/>
      <c r="K178" s="3"/>
      <c r="L178" s="3"/>
      <c r="M178" s="3"/>
      <c r="N178" s="8"/>
      <c r="O178" s="10"/>
      <c r="P178" s="3"/>
      <c r="Q178" s="3"/>
      <c r="R178" s="8"/>
      <c r="S178" s="3"/>
      <c r="T178" s="3"/>
      <c r="U178" s="3"/>
      <c r="V178" s="8"/>
      <c r="W178" s="3"/>
      <c r="X178" s="3"/>
      <c r="Y178" s="3"/>
      <c r="Z178" s="8"/>
    </row>
    <row r="179" spans="1:26" s="23" customFormat="1" ht="15" thickBot="1" x14ac:dyDescent="0.35">
      <c r="A179" s="10"/>
      <c r="B179" s="26" t="s">
        <v>126</v>
      </c>
      <c r="C179" s="26"/>
      <c r="D179" s="31">
        <f>+D175-D177</f>
        <v>-15551.229999999603</v>
      </c>
      <c r="E179" s="13"/>
      <c r="F179" s="30">
        <f>IF(D$12=0,0,D179/D$12)</f>
        <v>-9.1586400823816666E-3</v>
      </c>
      <c r="G179" s="13"/>
      <c r="H179" s="31">
        <f>+H175-H177</f>
        <v>-264250.29463693278</v>
      </c>
      <c r="I179" s="13"/>
      <c r="J179" s="30">
        <f>IF(H$12=0,0,H179/H$12)</f>
        <v>-0.17521451380392625</v>
      </c>
      <c r="K179" s="16"/>
      <c r="L179" s="31">
        <f>D179-H179</f>
        <v>248699.06463693318</v>
      </c>
      <c r="M179" s="16"/>
      <c r="N179" s="30">
        <f>IF(H179=0,0,L179/H179)</f>
        <v>-0.94114962096308641</v>
      </c>
      <c r="O179" s="25"/>
      <c r="P179" s="31">
        <f>+P175-P177</f>
        <v>-301899.89999999991</v>
      </c>
      <c r="Q179" s="13"/>
      <c r="R179" s="30">
        <f>IF(P$12=0,0,P179/P$12)</f>
        <v>-2.65392656314122E-2</v>
      </c>
      <c r="S179" s="13"/>
      <c r="T179" s="31">
        <f>+T175-T177</f>
        <v>-1781749.6772809541</v>
      </c>
      <c r="U179" s="13"/>
      <c r="V179" s="30">
        <f>IF(T$12=0,0,T179/T$12)</f>
        <v>-0.15259218584682097</v>
      </c>
      <c r="W179" s="16"/>
      <c r="X179" s="31">
        <f>P179-T179</f>
        <v>1479849.7772809542</v>
      </c>
      <c r="Y179" s="16"/>
      <c r="Z179" s="30">
        <f>IF(T179=0,0,X179/T179)</f>
        <v>-0.83055986828592254</v>
      </c>
    </row>
    <row r="180" spans="1:26" ht="15" thickTop="1" x14ac:dyDescent="0.3">
      <c r="A180" s="9"/>
      <c r="B180" s="9"/>
      <c r="C180" s="9"/>
      <c r="D180" s="3"/>
      <c r="E180" s="3"/>
      <c r="F180" s="8"/>
      <c r="G180" s="3"/>
      <c r="H180" s="3"/>
      <c r="I180" s="3"/>
      <c r="J180" s="8"/>
      <c r="K180" s="3"/>
      <c r="L180" s="3"/>
      <c r="M180" s="3"/>
      <c r="N180" s="8"/>
      <c r="P180" s="3"/>
      <c r="Q180" s="3"/>
      <c r="R180" s="8"/>
      <c r="S180" s="3"/>
      <c r="T180" s="3"/>
      <c r="U180" s="3"/>
      <c r="V180" s="8"/>
      <c r="W180" s="3"/>
      <c r="X180" s="3"/>
      <c r="Y180" s="3"/>
      <c r="Z180" s="8"/>
    </row>
    <row r="181" spans="1:26" s="23" customFormat="1" x14ac:dyDescent="0.3">
      <c r="A181" s="52"/>
      <c r="B181" s="10" t="s">
        <v>184</v>
      </c>
      <c r="C181" s="10"/>
      <c r="D181" s="4">
        <f>--139580.48</f>
        <v>139580.48000000001</v>
      </c>
      <c r="E181" s="4"/>
      <c r="F181" s="12">
        <f t="shared" ref="F181:F182" si="135">IF(D$12=0,0,D181/D$12)</f>
        <v>8.2203618546321106E-2</v>
      </c>
      <c r="G181" s="4"/>
      <c r="H181" s="4">
        <f>--15000</f>
        <v>15000</v>
      </c>
      <c r="I181" s="4"/>
      <c r="J181" s="12">
        <f t="shared" ref="J181:J182" si="136">IF(H$12=0,0,H181/H$12)</f>
        <v>9.9459404980794391E-3</v>
      </c>
      <c r="K181" s="4"/>
      <c r="L181" s="4">
        <f t="shared" ref="L181:L182" si="137">+D181-H181</f>
        <v>124580.48000000001</v>
      </c>
      <c r="M181" s="4"/>
      <c r="N181" s="12">
        <f t="shared" ref="N181:N182" si="138">IF(H181=0,0,L181/H181)</f>
        <v>8.3053653333333344</v>
      </c>
      <c r="O181" s="10"/>
      <c r="P181" s="4">
        <f>-85136.7</f>
        <v>-85136.7</v>
      </c>
      <c r="Q181" s="4"/>
      <c r="R181" s="12">
        <f t="shared" ref="R181:R182" si="139">IF(P$12=0,0,P181/P$12)</f>
        <v>-7.4841545038002713E-3</v>
      </c>
      <c r="S181" s="4"/>
      <c r="T181" s="4">
        <f>--90000</f>
        <v>90000</v>
      </c>
      <c r="U181" s="4"/>
      <c r="V181" s="12">
        <f t="shared" ref="V181:V182" si="140">IF(T$12=0,0,T181/T$12)</f>
        <v>7.7077587841472986E-3</v>
      </c>
      <c r="W181" s="4"/>
      <c r="X181" s="4">
        <f t="shared" ref="X181:X182" si="141">+P181-T181</f>
        <v>-175136.7</v>
      </c>
      <c r="Y181" s="4"/>
      <c r="Z181" s="12">
        <f t="shared" ref="Z181:Z182" si="142">IF(T181=0,0,X181/T181)</f>
        <v>-1.9459633333333335</v>
      </c>
    </row>
    <row r="182" spans="1:26" s="23" customFormat="1" x14ac:dyDescent="0.3">
      <c r="A182" s="52"/>
      <c r="B182" s="10" t="s">
        <v>82</v>
      </c>
      <c r="C182" s="10"/>
      <c r="D182" s="4">
        <f>--127617.83</f>
        <v>127617.83</v>
      </c>
      <c r="E182" s="4"/>
      <c r="F182" s="12">
        <f t="shared" si="135"/>
        <v>7.5158413390104789E-2</v>
      </c>
      <c r="G182" s="4"/>
      <c r="H182" s="4">
        <f>--20000</f>
        <v>20000</v>
      </c>
      <c r="I182" s="4"/>
      <c r="J182" s="12">
        <f t="shared" si="136"/>
        <v>1.3261253997439252E-2</v>
      </c>
      <c r="K182" s="4"/>
      <c r="L182" s="4">
        <f t="shared" si="137"/>
        <v>107617.83</v>
      </c>
      <c r="M182" s="4"/>
      <c r="N182" s="12">
        <f t="shared" si="138"/>
        <v>5.3808914999999997</v>
      </c>
      <c r="O182" s="10"/>
      <c r="P182" s="4">
        <f>--185407.7</f>
        <v>185407.7</v>
      </c>
      <c r="Q182" s="4"/>
      <c r="R182" s="12">
        <f t="shared" si="139"/>
        <v>1.6298727493481067E-2</v>
      </c>
      <c r="S182" s="4"/>
      <c r="T182" s="4">
        <f>--100000</f>
        <v>100000</v>
      </c>
      <c r="U182" s="4"/>
      <c r="V182" s="12">
        <f t="shared" si="140"/>
        <v>8.5641764268303312E-3</v>
      </c>
      <c r="W182" s="4"/>
      <c r="X182" s="4">
        <f t="shared" si="141"/>
        <v>85407.700000000012</v>
      </c>
      <c r="Y182" s="4"/>
      <c r="Z182" s="12">
        <f t="shared" si="142"/>
        <v>0.85407700000000009</v>
      </c>
    </row>
    <row r="183" spans="1:26" x14ac:dyDescent="0.3">
      <c r="A183" s="9"/>
      <c r="B183" s="9"/>
      <c r="C183" s="9"/>
      <c r="D183" s="3"/>
      <c r="E183" s="3"/>
      <c r="F183" s="8"/>
      <c r="G183" s="3"/>
      <c r="H183" s="3"/>
      <c r="I183" s="3"/>
      <c r="J183" s="8"/>
      <c r="K183" s="3"/>
      <c r="L183" s="3"/>
      <c r="M183" s="3"/>
      <c r="N183" s="8"/>
      <c r="P183" s="3"/>
      <c r="Q183" s="3"/>
      <c r="R183" s="8"/>
      <c r="S183" s="3"/>
      <c r="T183" s="3"/>
      <c r="U183" s="3"/>
      <c r="V183" s="8"/>
      <c r="W183" s="3"/>
      <c r="X183" s="3"/>
      <c r="Y183" s="3"/>
      <c r="Z183" s="8"/>
    </row>
    <row r="184" spans="1:26" s="23" customFormat="1" ht="15" thickBot="1" x14ac:dyDescent="0.35">
      <c r="A184" s="10"/>
      <c r="B184" s="26" t="s">
        <v>294</v>
      </c>
      <c r="C184" s="26"/>
      <c r="D184" s="35">
        <f>SUM(D179:D183)</f>
        <v>251647.08000000042</v>
      </c>
      <c r="E184" s="13"/>
      <c r="F184" s="34">
        <f>IF(D$12=0,0,D184/D$12)</f>
        <v>0.14820339185404424</v>
      </c>
      <c r="G184" s="13"/>
      <c r="H184" s="35">
        <f>SUM(H179:H183)</f>
        <v>-229250.29463693278</v>
      </c>
      <c r="I184" s="13"/>
      <c r="J184" s="34">
        <f>IF(H$12=0,0,H184/H$12)</f>
        <v>-0.15200731930840755</v>
      </c>
      <c r="K184" s="16"/>
      <c r="L184" s="35">
        <f>+D184-H184</f>
        <v>480897.37463693321</v>
      </c>
      <c r="M184" s="16"/>
      <c r="N184" s="34">
        <f>IF(H184=0,0,L184/H184)</f>
        <v>-2.0976957756958949</v>
      </c>
      <c r="O184" s="25"/>
      <c r="P184" s="35">
        <f>SUM(P179:P183)</f>
        <v>-201628.89999999991</v>
      </c>
      <c r="Q184" s="13"/>
      <c r="R184" s="34">
        <f>IF(P$12=0,0,P184/P$12)</f>
        <v>-1.7724692641731401E-2</v>
      </c>
      <c r="S184" s="13"/>
      <c r="T184" s="35">
        <f>SUM(T179:T183)</f>
        <v>-1591749.6772809541</v>
      </c>
      <c r="U184" s="13"/>
      <c r="V184" s="34">
        <f>IF(T$12=0,0,T184/T$12)</f>
        <v>-0.13632025063584335</v>
      </c>
      <c r="W184" s="16"/>
      <c r="X184" s="35">
        <f>+P184-T184</f>
        <v>1390120.7772809542</v>
      </c>
      <c r="Y184" s="16"/>
      <c r="Z184" s="34">
        <f>IF(T184=0,0,X184/T184)</f>
        <v>-0.87332876338669985</v>
      </c>
    </row>
    <row r="185" spans="1:26" ht="15" thickTop="1" x14ac:dyDescent="0.3">
      <c r="A185" s="9"/>
      <c r="C185" s="9"/>
      <c r="D185" s="18"/>
      <c r="E185" s="18"/>
      <c r="G185" s="18"/>
      <c r="H185" s="18"/>
      <c r="I185" s="18"/>
      <c r="J185" s="43"/>
      <c r="K185" s="18"/>
      <c r="L185" s="18"/>
      <c r="M185" s="18"/>
      <c r="P185" s="18"/>
      <c r="Q185" s="18"/>
      <c r="R185" s="43"/>
      <c r="S185" s="18"/>
      <c r="T185" s="18"/>
      <c r="U185" s="18"/>
      <c r="V185" s="43"/>
      <c r="W185" s="18"/>
      <c r="X185" s="18"/>
    </row>
    <row r="186" spans="1:26" x14ac:dyDescent="0.3">
      <c r="A186" s="9"/>
      <c r="B186" s="61">
        <v>44575.842095057873</v>
      </c>
      <c r="D186" s="18"/>
      <c r="E186" s="18"/>
      <c r="G186" s="18"/>
      <c r="H186" s="18"/>
      <c r="I186" s="18"/>
      <c r="J186" s="43"/>
      <c r="K186" s="18"/>
      <c r="L186" s="18"/>
      <c r="M186" s="18"/>
      <c r="P186" s="18"/>
      <c r="Q186" s="18"/>
      <c r="R186" s="43"/>
      <c r="S186" s="18"/>
      <c r="T186" s="18"/>
      <c r="U186" s="18"/>
      <c r="V186" s="43"/>
      <c r="W186" s="18"/>
      <c r="X186" s="18"/>
    </row>
    <row r="187" spans="1:26" x14ac:dyDescent="0.3">
      <c r="A187" s="9"/>
      <c r="B187" s="62" t="s">
        <v>56</v>
      </c>
      <c r="D187" s="18"/>
      <c r="E187" s="18"/>
      <c r="G187" s="18"/>
      <c r="H187" s="18"/>
      <c r="I187" s="18"/>
      <c r="J187" s="43"/>
      <c r="K187" s="18"/>
      <c r="L187" s="18"/>
      <c r="M187" s="18"/>
      <c r="P187" s="18"/>
      <c r="Q187" s="18"/>
      <c r="R187" s="43"/>
      <c r="S187" s="18"/>
      <c r="T187" s="18"/>
      <c r="U187" s="18"/>
      <c r="V187" s="43"/>
      <c r="W187" s="18"/>
      <c r="X187" s="18"/>
    </row>
    <row r="188" spans="1:26" x14ac:dyDescent="0.3">
      <c r="A188" s="9"/>
      <c r="B188" s="53"/>
      <c r="D188" s="18"/>
      <c r="E188" s="18"/>
      <c r="G188" s="18"/>
      <c r="H188" s="18"/>
      <c r="I188" s="18"/>
      <c r="J188" s="43"/>
      <c r="K188" s="18"/>
      <c r="L188" s="18"/>
      <c r="M188" s="18"/>
      <c r="P188" s="18"/>
      <c r="Q188" s="18"/>
      <c r="R188" s="43"/>
      <c r="S188" s="18"/>
      <c r="T188" s="18"/>
      <c r="U188" s="18"/>
      <c r="V188" s="43"/>
      <c r="W188" s="18"/>
      <c r="X188" s="18"/>
    </row>
    <row r="189" spans="1:26" x14ac:dyDescent="0.3">
      <c r="D189" s="18"/>
      <c r="E189" s="18"/>
      <c r="G189" s="18"/>
      <c r="H189" s="18"/>
      <c r="I189" s="18"/>
      <c r="J189" s="43"/>
      <c r="K189" s="18"/>
      <c r="L189" s="18"/>
      <c r="M189" s="18"/>
      <c r="P189" s="18"/>
      <c r="Q189" s="18"/>
      <c r="R189" s="43"/>
      <c r="S189" s="18"/>
      <c r="T189" s="18"/>
      <c r="U189" s="18"/>
      <c r="V189" s="43"/>
      <c r="W189" s="18"/>
      <c r="X189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55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106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106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183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183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105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105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219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219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","100", " - ", "Corporate")</f>
        <v>Department 100 - Corporate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55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277</v>
      </c>
      <c r="C22" s="26"/>
      <c r="D22" s="20">
        <f>+D16-D18+D20</f>
        <v>0</v>
      </c>
      <c r="E22" s="13"/>
      <c r="F22" s="22">
        <f>IF(D$12=0,0,D22/D$12)</f>
        <v>0</v>
      </c>
      <c r="G22" s="13"/>
      <c r="H22" s="20">
        <f>+H16-H18+H20</f>
        <v>0</v>
      </c>
      <c r="I22" s="13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5"/>
      <c r="P22" s="20">
        <f>+P16-P18+P20</f>
        <v>0</v>
      </c>
      <c r="Q22" s="13"/>
      <c r="R22" s="22">
        <f>IF(P$12=0,0,P22/P$12)</f>
        <v>0</v>
      </c>
      <c r="S22" s="13"/>
      <c r="T22" s="20">
        <f>+T16-T18+T20</f>
        <v>0</v>
      </c>
      <c r="U22" s="13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126</v>
      </c>
      <c r="C26" s="26"/>
      <c r="D26" s="31">
        <f>+D22-D24</f>
        <v>0</v>
      </c>
      <c r="E26" s="13"/>
      <c r="F26" s="30">
        <f>IF(D$12=0,0,D26/D$12)</f>
        <v>0</v>
      </c>
      <c r="G26" s="13"/>
      <c r="H26" s="31">
        <f>+H22-H24</f>
        <v>0</v>
      </c>
      <c r="I26" s="13"/>
      <c r="J26" s="30">
        <f>IF(H$12=0,0,H26/H$12)</f>
        <v>0</v>
      </c>
      <c r="K26" s="16"/>
      <c r="L26" s="31">
        <f>D26-H26</f>
        <v>0</v>
      </c>
      <c r="M26" s="16"/>
      <c r="N26" s="30">
        <f>IF(H26=0,0,L26/H26)</f>
        <v>0</v>
      </c>
      <c r="O26" s="25"/>
      <c r="P26" s="31">
        <f>+P22-P24</f>
        <v>0</v>
      </c>
      <c r="Q26" s="13"/>
      <c r="R26" s="30">
        <f>IF(P$12=0,0,P26/P$12)</f>
        <v>0</v>
      </c>
      <c r="S26" s="13"/>
      <c r="T26" s="31">
        <f>+T22-T24</f>
        <v>0</v>
      </c>
      <c r="U26" s="13"/>
      <c r="V26" s="30">
        <f>IF(T$12=0,0,T26/T$12)</f>
        <v>0</v>
      </c>
      <c r="W26" s="16"/>
      <c r="X26" s="31">
        <f>P26-T26</f>
        <v>0</v>
      </c>
      <c r="Y26" s="16"/>
      <c r="Z26" s="30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184</v>
      </c>
      <c r="C28" s="10"/>
      <c r="D28" s="4">
        <f>--139580.48</f>
        <v>139580.48000000001</v>
      </c>
      <c r="E28" s="4"/>
      <c r="F28" s="12">
        <f t="shared" ref="F28:F29" si="0">IF(D$12=0,0,D28/D$12)</f>
        <v>0</v>
      </c>
      <c r="G28" s="4"/>
      <c r="H28" s="4">
        <f>--15000</f>
        <v>15000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124580.48000000001</v>
      </c>
      <c r="M28" s="4"/>
      <c r="N28" s="12">
        <f t="shared" ref="N28:N29" si="3">IF(H28=0,0,L28/H28)</f>
        <v>8.3053653333333344</v>
      </c>
      <c r="O28" s="10"/>
      <c r="P28" s="4">
        <f>-85136.7</f>
        <v>-85136.7</v>
      </c>
      <c r="Q28" s="4"/>
      <c r="R28" s="12">
        <f t="shared" ref="R28:R29" si="4">IF(P$12=0,0,P28/P$12)</f>
        <v>0</v>
      </c>
      <c r="S28" s="4"/>
      <c r="T28" s="4">
        <f>--90000</f>
        <v>90000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-175136.7</v>
      </c>
      <c r="Y28" s="4"/>
      <c r="Z28" s="12">
        <f t="shared" ref="Z28:Z29" si="7">IF(T28=0,0,X28/T28)</f>
        <v>-1.9459633333333335</v>
      </c>
    </row>
    <row r="29" spans="1:26" s="23" customFormat="1" x14ac:dyDescent="0.3">
      <c r="A29" s="52"/>
      <c r="B29" s="10" t="s">
        <v>82</v>
      </c>
      <c r="C29" s="10"/>
      <c r="D29" s="4">
        <f>--127617.83</f>
        <v>127617.83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107617.83</v>
      </c>
      <c r="M29" s="4"/>
      <c r="N29" s="12">
        <f t="shared" si="3"/>
        <v>5.3808914999999997</v>
      </c>
      <c r="O29" s="10"/>
      <c r="P29" s="4">
        <f>--185407.7</f>
        <v>185407.7</v>
      </c>
      <c r="Q29" s="4"/>
      <c r="R29" s="12">
        <f t="shared" si="4"/>
        <v>0</v>
      </c>
      <c r="S29" s="4"/>
      <c r="T29" s="4">
        <f>--100000</f>
        <v>100000</v>
      </c>
      <c r="U29" s="4"/>
      <c r="V29" s="12">
        <f t="shared" si="5"/>
        <v>0</v>
      </c>
      <c r="W29" s="4"/>
      <c r="X29" s="4">
        <f t="shared" si="6"/>
        <v>85407.700000000012</v>
      </c>
      <c r="Y29" s="4"/>
      <c r="Z29" s="12">
        <f t="shared" si="7"/>
        <v>0.85407700000000009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5">
        <f>SUM(D26:D30)</f>
        <v>267198.31</v>
      </c>
      <c r="E31" s="13"/>
      <c r="F31" s="34">
        <f>IF(D$12=0,0,D31/D$12)</f>
        <v>0</v>
      </c>
      <c r="G31" s="13"/>
      <c r="H31" s="35">
        <f>SUM(H26:H30)</f>
        <v>35000</v>
      </c>
      <c r="I31" s="13"/>
      <c r="J31" s="34">
        <f>IF(H$12=0,0,H31/H$12)</f>
        <v>0</v>
      </c>
      <c r="K31" s="16"/>
      <c r="L31" s="35">
        <f>+D31-H31</f>
        <v>232198.31</v>
      </c>
      <c r="M31" s="16"/>
      <c r="N31" s="34">
        <f>IF(H31=0,0,L31/H31)</f>
        <v>6.6342374285714287</v>
      </c>
      <c r="O31" s="25"/>
      <c r="P31" s="35">
        <f>SUM(P26:P30)</f>
        <v>100271.00000000001</v>
      </c>
      <c r="Q31" s="13"/>
      <c r="R31" s="34">
        <f>IF(P$12=0,0,P31/P$12)</f>
        <v>0</v>
      </c>
      <c r="S31" s="13"/>
      <c r="T31" s="35">
        <f>SUM(T26:T30)</f>
        <v>190000</v>
      </c>
      <c r="U31" s="13"/>
      <c r="V31" s="34">
        <f>IF(T$12=0,0,T31/T$12)</f>
        <v>0</v>
      </c>
      <c r="W31" s="16"/>
      <c r="X31" s="35">
        <f>+P31-T31</f>
        <v>-89728.999999999985</v>
      </c>
      <c r="Y31" s="16"/>
      <c r="Z31" s="34">
        <f>IF(T31=0,0,X31/T31)</f>
        <v>-0.47225789473684204</v>
      </c>
    </row>
    <row r="32" spans="1:26" ht="15" thickTop="1" x14ac:dyDescent="0.3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61">
        <v>44575.842125659721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62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5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313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139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216572.44999999998</v>
      </c>
      <c r="E18" s="21"/>
      <c r="F18" s="32">
        <f t="shared" ref="F18:F30" si="0">IF(D$12=0,0,D18/D$12)</f>
        <v>0</v>
      </c>
      <c r="G18" s="21"/>
      <c r="H18" s="21">
        <f>SUM(OSRRefH22x_0)</f>
        <v>240598.69333830161</v>
      </c>
      <c r="I18" s="21"/>
      <c r="J18" s="32">
        <f t="shared" ref="J18:J30" si="1">IF(H$12=0,0,H18/H$12)</f>
        <v>0</v>
      </c>
      <c r="K18" s="4"/>
      <c r="L18" s="21">
        <f t="shared" ref="L18:L30" si="2">+D18-H18</f>
        <v>-24026.243338301632</v>
      </c>
      <c r="M18" s="4"/>
      <c r="N18" s="32">
        <f t="shared" ref="N18:N30" si="3">IF(H18=0,0,L18/H18)</f>
        <v>-9.9860240323577945E-2</v>
      </c>
      <c r="O18" s="10"/>
      <c r="P18" s="21">
        <f>SUM(OSRRefP22x_0)</f>
        <v>1369289.3</v>
      </c>
      <c r="Q18" s="21"/>
      <c r="R18" s="32">
        <f t="shared" ref="R18:R30" si="4">IF(P$12=0,0,P18/P$12)</f>
        <v>0</v>
      </c>
      <c r="S18" s="21"/>
      <c r="T18" s="21">
        <f>SUM(OSRRefT22x_0)</f>
        <v>1546777.3688758833</v>
      </c>
      <c r="U18" s="21"/>
      <c r="V18" s="32">
        <f t="shared" ref="V18:V30" si="5">IF(T$12=0,0,T18/T$12)</f>
        <v>0</v>
      </c>
      <c r="W18" s="4"/>
      <c r="X18" s="21">
        <f t="shared" ref="X18:X30" si="6">+P18-T18</f>
        <v>-177488.06887588324</v>
      </c>
      <c r="Y18" s="4"/>
      <c r="Z18" s="32">
        <f t="shared" ref="Z18:Z30" si="7">IF(T18=0,0,X18/T18)</f>
        <v>-0.11474700396274369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83904.01</v>
      </c>
      <c r="E19" s="1"/>
      <c r="F19" s="5">
        <f t="shared" si="0"/>
        <v>0</v>
      </c>
      <c r="G19" s="1"/>
      <c r="H19" s="1">
        <f>SUM(OSRRefH22_0x_0)</f>
        <v>84910.764501378522</v>
      </c>
      <c r="I19" s="1"/>
      <c r="J19" s="5">
        <f t="shared" si="1"/>
        <v>0</v>
      </c>
      <c r="K19" s="1"/>
      <c r="L19" s="1">
        <f t="shared" si="2"/>
        <v>-1006.7545013785275</v>
      </c>
      <c r="M19" s="1"/>
      <c r="N19" s="5">
        <f t="shared" si="3"/>
        <v>-1.1856618030593551E-2</v>
      </c>
      <c r="O19" s="14"/>
      <c r="P19" s="1">
        <f>SUM(OSRRefP22_0x_0)</f>
        <v>492261.16</v>
      </c>
      <c r="Q19" s="1"/>
      <c r="R19" s="5">
        <f t="shared" si="4"/>
        <v>0</v>
      </c>
      <c r="S19" s="1"/>
      <c r="T19" s="1">
        <f>SUM(OSRRefT22_0x_0)</f>
        <v>513999.67758972937</v>
      </c>
      <c r="U19" s="1"/>
      <c r="V19" s="5">
        <f t="shared" si="5"/>
        <v>0</v>
      </c>
      <c r="W19" s="1"/>
      <c r="X19" s="1">
        <f t="shared" si="6"/>
        <v>-21738.517589729396</v>
      </c>
      <c r="Y19" s="1"/>
      <c r="Z19" s="5">
        <f t="shared" si="7"/>
        <v>-4.2292862306191788E-2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>
        <v>6803.77</v>
      </c>
      <c r="E20" s="2"/>
      <c r="F20" s="7">
        <f t="shared" si="0"/>
        <v>0</v>
      </c>
      <c r="G20" s="2"/>
      <c r="H20" s="6">
        <v>7705.3153428553896</v>
      </c>
      <c r="I20" s="2"/>
      <c r="J20" s="7">
        <f t="shared" si="1"/>
        <v>0</v>
      </c>
      <c r="K20" s="2"/>
      <c r="L20" s="6">
        <f t="shared" si="2"/>
        <v>-901.54534285538921</v>
      </c>
      <c r="M20" s="2"/>
      <c r="N20" s="7">
        <f t="shared" si="3"/>
        <v>-0.11700304306057122</v>
      </c>
      <c r="O20" s="11"/>
      <c r="P20" s="6">
        <v>45846.15</v>
      </c>
      <c r="Q20" s="2"/>
      <c r="R20" s="7">
        <f t="shared" si="4"/>
        <v>0</v>
      </c>
      <c r="S20" s="2"/>
      <c r="T20" s="6">
        <v>48376.812213175399</v>
      </c>
      <c r="U20" s="2"/>
      <c r="V20" s="7">
        <f t="shared" si="5"/>
        <v>0</v>
      </c>
      <c r="W20" s="2"/>
      <c r="X20" s="6">
        <f t="shared" si="6"/>
        <v>-2530.6622131753975</v>
      </c>
      <c r="Y20" s="2"/>
      <c r="Z20" s="7">
        <f t="shared" si="7"/>
        <v>-5.2311471082961788E-2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1492.1</v>
      </c>
      <c r="E21" s="2"/>
      <c r="F21" s="7">
        <f t="shared" si="0"/>
        <v>0</v>
      </c>
      <c r="G21" s="2"/>
      <c r="H21" s="6">
        <v>627.22173710769198</v>
      </c>
      <c r="I21" s="2"/>
      <c r="J21" s="7">
        <f t="shared" si="1"/>
        <v>0</v>
      </c>
      <c r="K21" s="2"/>
      <c r="L21" s="6">
        <f t="shared" si="2"/>
        <v>864.87826289230793</v>
      </c>
      <c r="M21" s="2"/>
      <c r="N21" s="7">
        <f t="shared" si="3"/>
        <v>1.3789035228283408</v>
      </c>
      <c r="O21" s="11"/>
      <c r="P21" s="6">
        <v>9444.2999999999993</v>
      </c>
      <c r="Q21" s="2"/>
      <c r="R21" s="7">
        <f t="shared" si="4"/>
        <v>0</v>
      </c>
      <c r="S21" s="2"/>
      <c r="T21" s="6">
        <v>3966.34998350769</v>
      </c>
      <c r="U21" s="2"/>
      <c r="V21" s="7">
        <f t="shared" si="5"/>
        <v>0</v>
      </c>
      <c r="W21" s="2"/>
      <c r="X21" s="6">
        <f t="shared" si="6"/>
        <v>5477.9500164923093</v>
      </c>
      <c r="Y21" s="2"/>
      <c r="Z21" s="7">
        <f t="shared" si="7"/>
        <v>1.3811060645858129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>
        <v>22410.55</v>
      </c>
      <c r="E22" s="2"/>
      <c r="F22" s="7">
        <f t="shared" si="0"/>
        <v>0</v>
      </c>
      <c r="G22" s="2"/>
      <c r="H22" s="6">
        <v>23635.538461538501</v>
      </c>
      <c r="I22" s="2"/>
      <c r="J22" s="7">
        <f t="shared" si="1"/>
        <v>0</v>
      </c>
      <c r="K22" s="2"/>
      <c r="L22" s="6">
        <f t="shared" si="2"/>
        <v>-1224.9884615385017</v>
      </c>
      <c r="M22" s="2"/>
      <c r="N22" s="7">
        <f t="shared" si="3"/>
        <v>-5.1828244299654679E-2</v>
      </c>
      <c r="O22" s="11"/>
      <c r="P22" s="6">
        <v>134796.74</v>
      </c>
      <c r="Q22" s="2"/>
      <c r="R22" s="7">
        <f t="shared" si="4"/>
        <v>0</v>
      </c>
      <c r="S22" s="2"/>
      <c r="T22" s="6">
        <v>142124</v>
      </c>
      <c r="U22" s="2"/>
      <c r="V22" s="7">
        <f t="shared" si="5"/>
        <v>0</v>
      </c>
      <c r="W22" s="2"/>
      <c r="X22" s="6">
        <f t="shared" si="6"/>
        <v>-7327.2600000000093</v>
      </c>
      <c r="Y22" s="2"/>
      <c r="Z22" s="7">
        <f t="shared" si="7"/>
        <v>-5.1555402324730583E-2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263.31</v>
      </c>
      <c r="E23" s="2"/>
      <c r="F23" s="7">
        <f t="shared" si="0"/>
        <v>0</v>
      </c>
      <c r="G23" s="2"/>
      <c r="H23" s="6">
        <v>234.115544492308</v>
      </c>
      <c r="I23" s="2"/>
      <c r="J23" s="7">
        <f t="shared" si="1"/>
        <v>0</v>
      </c>
      <c r="K23" s="2"/>
      <c r="L23" s="6">
        <f t="shared" si="2"/>
        <v>29.194455507691998</v>
      </c>
      <c r="M23" s="2"/>
      <c r="N23" s="7">
        <f t="shared" si="3"/>
        <v>0.12470105550232355</v>
      </c>
      <c r="O23" s="11"/>
      <c r="P23" s="6">
        <v>1664.55</v>
      </c>
      <c r="Q23" s="2"/>
      <c r="R23" s="7">
        <f t="shared" si="4"/>
        <v>0</v>
      </c>
      <c r="S23" s="2"/>
      <c r="T23" s="6">
        <v>1446.8343468923099</v>
      </c>
      <c r="U23" s="2"/>
      <c r="V23" s="7">
        <f t="shared" si="5"/>
        <v>0</v>
      </c>
      <c r="W23" s="2"/>
      <c r="X23" s="6">
        <f t="shared" si="6"/>
        <v>217.71565310769006</v>
      </c>
      <c r="Y23" s="2"/>
      <c r="Z23" s="7">
        <f t="shared" si="7"/>
        <v>0.15047724957271488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>
        <v>7738.29</v>
      </c>
      <c r="E24" s="2"/>
      <c r="F24" s="7">
        <f t="shared" si="0"/>
        <v>0</v>
      </c>
      <c r="G24" s="2"/>
      <c r="H24" s="6">
        <v>6526.3494769230801</v>
      </c>
      <c r="I24" s="2"/>
      <c r="J24" s="7">
        <f t="shared" si="1"/>
        <v>0</v>
      </c>
      <c r="K24" s="2"/>
      <c r="L24" s="6">
        <f t="shared" si="2"/>
        <v>1211.9405230769198</v>
      </c>
      <c r="M24" s="2"/>
      <c r="N24" s="7">
        <f t="shared" si="3"/>
        <v>0.18569960547811526</v>
      </c>
      <c r="O24" s="11"/>
      <c r="P24" s="6">
        <v>49217.36</v>
      </c>
      <c r="Q24" s="2"/>
      <c r="R24" s="7">
        <f t="shared" si="4"/>
        <v>0</v>
      </c>
      <c r="S24" s="2"/>
      <c r="T24" s="6">
        <v>39786.6946769231</v>
      </c>
      <c r="U24" s="2"/>
      <c r="V24" s="7">
        <f t="shared" si="5"/>
        <v>0</v>
      </c>
      <c r="W24" s="2"/>
      <c r="X24" s="6">
        <f t="shared" si="6"/>
        <v>9430.6653230769007</v>
      </c>
      <c r="Y24" s="2"/>
      <c r="Z24" s="7">
        <f t="shared" si="7"/>
        <v>0.23703063045714207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>
        <v>2636</v>
      </c>
      <c r="E25" s="2"/>
      <c r="F25" s="7">
        <f t="shared" si="0"/>
        <v>0</v>
      </c>
      <c r="G25" s="2"/>
      <c r="H25" s="6">
        <v>417</v>
      </c>
      <c r="I25" s="2"/>
      <c r="J25" s="7">
        <f t="shared" si="1"/>
        <v>0</v>
      </c>
      <c r="K25" s="2"/>
      <c r="L25" s="6">
        <f t="shared" si="2"/>
        <v>2219</v>
      </c>
      <c r="M25" s="2"/>
      <c r="N25" s="7">
        <f t="shared" si="3"/>
        <v>5.3213429256594722</v>
      </c>
      <c r="O25" s="11"/>
      <c r="P25" s="6">
        <v>2636</v>
      </c>
      <c r="Q25" s="2"/>
      <c r="R25" s="7">
        <f t="shared" si="4"/>
        <v>0</v>
      </c>
      <c r="S25" s="2"/>
      <c r="T25" s="6">
        <v>2502</v>
      </c>
      <c r="U25" s="2"/>
      <c r="V25" s="7">
        <f t="shared" si="5"/>
        <v>0</v>
      </c>
      <c r="W25" s="2"/>
      <c r="X25" s="6">
        <f t="shared" si="6"/>
        <v>134</v>
      </c>
      <c r="Y25" s="2"/>
      <c r="Z25" s="7">
        <f t="shared" si="7"/>
        <v>5.3557154276578735E-2</v>
      </c>
    </row>
    <row r="26" spans="1:26" s="24" customFormat="1" hidden="1" outlineLevel="2" x14ac:dyDescent="0.3">
      <c r="A26" s="29"/>
      <c r="B26" s="11" t="str">
        <f>CONCATENATE("          ", "6117", " - ", "RETIREMENT STAFF HOURLY")</f>
        <v xml:space="preserve">          6117 - RETIREMENT STAFF HOURLY</v>
      </c>
      <c r="C26" s="11"/>
      <c r="D26" s="6">
        <v>654.36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654.36</v>
      </c>
      <c r="M26" s="2"/>
      <c r="N26" s="7">
        <f t="shared" si="3"/>
        <v>0</v>
      </c>
      <c r="O26" s="11"/>
      <c r="P26" s="6">
        <v>3781.36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3781.36</v>
      </c>
      <c r="Y26" s="2"/>
      <c r="Z26" s="7">
        <f t="shared" si="7"/>
        <v>0</v>
      </c>
    </row>
    <row r="27" spans="1:26" s="24" customFormat="1" hidden="1" outlineLevel="2" x14ac:dyDescent="0.3">
      <c r="A27" s="29"/>
      <c r="B27" s="11" t="str">
        <f>CONCATENATE("          ", "6118", " - ", "VACATION")</f>
        <v xml:space="preserve">          6118 - VACATION</v>
      </c>
      <c r="C27" s="11"/>
      <c r="D27" s="6">
        <v>7317.15</v>
      </c>
      <c r="E27" s="2"/>
      <c r="F27" s="7">
        <f t="shared" si="0"/>
        <v>0</v>
      </c>
      <c r="G27" s="2"/>
      <c r="H27" s="6">
        <v>4505.4114707692397</v>
      </c>
      <c r="I27" s="2"/>
      <c r="J27" s="7">
        <f t="shared" si="1"/>
        <v>0</v>
      </c>
      <c r="K27" s="2"/>
      <c r="L27" s="6">
        <f t="shared" si="2"/>
        <v>2811.7385292307599</v>
      </c>
      <c r="M27" s="2"/>
      <c r="N27" s="7">
        <f t="shared" si="3"/>
        <v>0.62408029709896673</v>
      </c>
      <c r="O27" s="11"/>
      <c r="P27" s="6">
        <v>42343</v>
      </c>
      <c r="Q27" s="2"/>
      <c r="R27" s="7">
        <f t="shared" si="4"/>
        <v>0</v>
      </c>
      <c r="S27" s="2"/>
      <c r="T27" s="6">
        <v>27753.443790769299</v>
      </c>
      <c r="U27" s="2"/>
      <c r="V27" s="7">
        <f t="shared" si="5"/>
        <v>0</v>
      </c>
      <c r="W27" s="2"/>
      <c r="X27" s="6">
        <f t="shared" si="6"/>
        <v>14589.556209230701</v>
      </c>
      <c r="Y27" s="2"/>
      <c r="Z27" s="7">
        <f t="shared" si="7"/>
        <v>0.52568453555602124</v>
      </c>
    </row>
    <row r="28" spans="1:26" s="24" customFormat="1" hidden="1" outlineLevel="2" x14ac:dyDescent="0.3">
      <c r="A28" s="29"/>
      <c r="B28" s="11" t="str">
        <f>CONCATENATE("          ", "6119", " - ", "SICK LEAVE")</f>
        <v xml:space="preserve">          6119 - SICK LEAVE</v>
      </c>
      <c r="C28" s="11"/>
      <c r="D28" s="6">
        <v>4523.7</v>
      </c>
      <c r="E28" s="2"/>
      <c r="F28" s="7">
        <f t="shared" si="0"/>
        <v>0</v>
      </c>
      <c r="G28" s="2"/>
      <c r="H28" s="6">
        <v>3809.8124676923198</v>
      </c>
      <c r="I28" s="2"/>
      <c r="J28" s="7">
        <f t="shared" si="1"/>
        <v>0</v>
      </c>
      <c r="K28" s="2"/>
      <c r="L28" s="6">
        <f t="shared" si="2"/>
        <v>713.88753230767998</v>
      </c>
      <c r="M28" s="2"/>
      <c r="N28" s="7">
        <f t="shared" si="3"/>
        <v>0.18738127883236627</v>
      </c>
      <c r="O28" s="11"/>
      <c r="P28" s="6">
        <v>28079.34</v>
      </c>
      <c r="Q28" s="2"/>
      <c r="R28" s="7">
        <f t="shared" si="4"/>
        <v>0</v>
      </c>
      <c r="S28" s="2"/>
      <c r="T28" s="6">
        <v>23693.542578461602</v>
      </c>
      <c r="U28" s="2"/>
      <c r="V28" s="7">
        <f t="shared" si="5"/>
        <v>0</v>
      </c>
      <c r="W28" s="2"/>
      <c r="X28" s="6">
        <f t="shared" si="6"/>
        <v>4385.7974215383983</v>
      </c>
      <c r="Y28" s="2"/>
      <c r="Z28" s="7">
        <f t="shared" si="7"/>
        <v>0.18510517821531963</v>
      </c>
    </row>
    <row r="29" spans="1:26" s="24" customFormat="1" hidden="1" outlineLevel="2" x14ac:dyDescent="0.3">
      <c r="A29" s="29"/>
      <c r="B29" s="11" t="str">
        <f>CONCATENATE("          ", "6120", " - ", "RETIREES HEALTH INSURANCE")</f>
        <v xml:space="preserve">          6120 - RETIREES HEALTH INSURANCE</v>
      </c>
      <c r="C29" s="11"/>
      <c r="D29" s="6">
        <v>28675.06</v>
      </c>
      <c r="E29" s="2"/>
      <c r="F29" s="7">
        <f t="shared" si="0"/>
        <v>0</v>
      </c>
      <c r="G29" s="2"/>
      <c r="H29" s="6">
        <v>35000</v>
      </c>
      <c r="I29" s="2"/>
      <c r="J29" s="7">
        <f t="shared" si="1"/>
        <v>0</v>
      </c>
      <c r="K29" s="2"/>
      <c r="L29" s="6">
        <f t="shared" si="2"/>
        <v>-6324.9399999999987</v>
      </c>
      <c r="M29" s="2"/>
      <c r="N29" s="7">
        <f t="shared" si="3"/>
        <v>-0.18071257142857139</v>
      </c>
      <c r="O29" s="11"/>
      <c r="P29" s="6">
        <v>165716.35999999999</v>
      </c>
      <c r="Q29" s="2"/>
      <c r="R29" s="7">
        <f t="shared" si="4"/>
        <v>0</v>
      </c>
      <c r="S29" s="2"/>
      <c r="T29" s="6">
        <v>210000</v>
      </c>
      <c r="U29" s="2"/>
      <c r="V29" s="7">
        <f t="shared" si="5"/>
        <v>0</v>
      </c>
      <c r="W29" s="2"/>
      <c r="X29" s="6">
        <f t="shared" si="6"/>
        <v>-44283.640000000014</v>
      </c>
      <c r="Y29" s="2"/>
      <c r="Z29" s="7">
        <f t="shared" si="7"/>
        <v>-0.21087447619047625</v>
      </c>
    </row>
    <row r="30" spans="1:26" s="24" customFormat="1" hidden="1" outlineLevel="2" x14ac:dyDescent="0.3">
      <c r="A30" s="29"/>
      <c r="B30" s="11" t="str">
        <f>CONCATENATE("          ", "6156", " - ", "EMPLOYEE MEALS")</f>
        <v xml:space="preserve">          6156 - EMPLOYEE MEALS</v>
      </c>
      <c r="C30" s="11"/>
      <c r="D30" s="6">
        <v>1389.72</v>
      </c>
      <c r="E30" s="2"/>
      <c r="F30" s="7">
        <f t="shared" si="0"/>
        <v>0</v>
      </c>
      <c r="G30" s="2"/>
      <c r="H30" s="6">
        <v>2450</v>
      </c>
      <c r="I30" s="2"/>
      <c r="J30" s="7">
        <f t="shared" si="1"/>
        <v>0</v>
      </c>
      <c r="K30" s="2"/>
      <c r="L30" s="6">
        <f t="shared" si="2"/>
        <v>-1060.28</v>
      </c>
      <c r="M30" s="2"/>
      <c r="N30" s="7">
        <f t="shared" si="3"/>
        <v>-0.4327673469387755</v>
      </c>
      <c r="O30" s="11"/>
      <c r="P30" s="6">
        <v>8736</v>
      </c>
      <c r="Q30" s="2"/>
      <c r="R30" s="7">
        <f t="shared" si="4"/>
        <v>0</v>
      </c>
      <c r="S30" s="2"/>
      <c r="T30" s="6">
        <v>14350</v>
      </c>
      <c r="U30" s="2"/>
      <c r="V30" s="7">
        <f t="shared" si="5"/>
        <v>0</v>
      </c>
      <c r="W30" s="2"/>
      <c r="X30" s="6">
        <f t="shared" si="6"/>
        <v>-5614</v>
      </c>
      <c r="Y30" s="2"/>
      <c r="Z30" s="7">
        <f t="shared" si="7"/>
        <v>-0.39121951219512197</v>
      </c>
    </row>
    <row r="31" spans="1:26" s="28" customFormat="1" outlineLevel="1" collapsed="1" x14ac:dyDescent="0.3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96856.360000000015</v>
      </c>
      <c r="E31" s="1"/>
      <c r="F31" s="5">
        <f t="shared" ref="F31:F41" si="8">IF(D$12=0,0,D31/D$12)</f>
        <v>0</v>
      </c>
      <c r="G31" s="1"/>
      <c r="H31" s="1">
        <f>SUM(OSRRefH22_1x_0)</f>
        <v>102045.92883692309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-5189.5688369230775</v>
      </c>
      <c r="M31" s="1"/>
      <c r="N31" s="5">
        <f t="shared" ref="N31:N41" si="11">IF(H31=0,0,L31/H31)</f>
        <v>-5.085522662267488E-2</v>
      </c>
      <c r="O31" s="14"/>
      <c r="P31" s="1">
        <f>SUM(OSRRefP22_1x_0)</f>
        <v>564522.87</v>
      </c>
      <c r="Q31" s="1"/>
      <c r="R31" s="5">
        <f t="shared" ref="R31:R41" si="12">IF(P$12=0,0,P31/P$12)</f>
        <v>0</v>
      </c>
      <c r="S31" s="1"/>
      <c r="T31" s="1">
        <f>SUM(OSRRefT22_1x_0)</f>
        <v>630074.69128615397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-65551.82128615398</v>
      </c>
      <c r="Y31" s="1"/>
      <c r="Z31" s="5">
        <f t="shared" ref="Z31:Z41" si="15">IF(T31=0,0,X31/T31)</f>
        <v>-0.1040381754619359</v>
      </c>
    </row>
    <row r="32" spans="1:26" s="24" customFormat="1" hidden="1" outlineLevel="2" x14ac:dyDescent="0.3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>
        <v>24698.68</v>
      </c>
      <c r="E32" s="2"/>
      <c r="F32" s="7">
        <f t="shared" si="8"/>
        <v>0</v>
      </c>
      <c r="G32" s="2"/>
      <c r="H32" s="6">
        <v>34156.196923076997</v>
      </c>
      <c r="I32" s="2"/>
      <c r="J32" s="7">
        <f t="shared" si="9"/>
        <v>0</v>
      </c>
      <c r="K32" s="2"/>
      <c r="L32" s="6">
        <f t="shared" si="10"/>
        <v>-9457.516923076997</v>
      </c>
      <c r="M32" s="2"/>
      <c r="N32" s="7">
        <f t="shared" si="11"/>
        <v>-0.27689022124963808</v>
      </c>
      <c r="O32" s="11"/>
      <c r="P32" s="6">
        <v>116600.07</v>
      </c>
      <c r="Q32" s="2"/>
      <c r="R32" s="7">
        <f t="shared" si="12"/>
        <v>0</v>
      </c>
      <c r="S32" s="2"/>
      <c r="T32" s="6">
        <v>193831.43384615399</v>
      </c>
      <c r="U32" s="2"/>
      <c r="V32" s="7">
        <f t="shared" si="13"/>
        <v>0</v>
      </c>
      <c r="W32" s="2"/>
      <c r="X32" s="6">
        <f t="shared" si="14"/>
        <v>-77231.363846153981</v>
      </c>
      <c r="Y32" s="2"/>
      <c r="Z32" s="7">
        <f t="shared" si="15"/>
        <v>-0.39844602247256405</v>
      </c>
    </row>
    <row r="33" spans="1:26" s="24" customFormat="1" hidden="1" outlineLevel="2" x14ac:dyDescent="0.3">
      <c r="A33" s="29"/>
      <c r="B33" s="11" t="str">
        <f>CONCATENATE("          ", "6002", " - ", "STAFF SALARIES")</f>
        <v xml:space="preserve">          6002 - STAFF SALARIES</v>
      </c>
      <c r="C33" s="11"/>
      <c r="D33" s="6">
        <v>47735.14</v>
      </c>
      <c r="E33" s="2"/>
      <c r="F33" s="7">
        <f t="shared" si="8"/>
        <v>0</v>
      </c>
      <c r="G33" s="2"/>
      <c r="H33" s="6">
        <v>35167.686153846102</v>
      </c>
      <c r="I33" s="2"/>
      <c r="J33" s="7">
        <f t="shared" si="9"/>
        <v>0</v>
      </c>
      <c r="K33" s="2"/>
      <c r="L33" s="6">
        <f t="shared" si="10"/>
        <v>12567.453846153898</v>
      </c>
      <c r="M33" s="2"/>
      <c r="N33" s="7">
        <f t="shared" si="11"/>
        <v>0.35735799595048029</v>
      </c>
      <c r="O33" s="11"/>
      <c r="P33" s="6">
        <v>300189.76</v>
      </c>
      <c r="Q33" s="2"/>
      <c r="R33" s="7">
        <f t="shared" si="12"/>
        <v>0</v>
      </c>
      <c r="S33" s="2"/>
      <c r="T33" s="6">
        <v>228589.96</v>
      </c>
      <c r="U33" s="2"/>
      <c r="V33" s="7">
        <f t="shared" si="13"/>
        <v>0</v>
      </c>
      <c r="W33" s="2"/>
      <c r="X33" s="6">
        <f t="shared" si="14"/>
        <v>71599.800000000017</v>
      </c>
      <c r="Y33" s="2"/>
      <c r="Z33" s="7">
        <f t="shared" si="15"/>
        <v>0.31322373038605905</v>
      </c>
    </row>
    <row r="34" spans="1:26" s="24" customFormat="1" hidden="1" outlineLevel="2" x14ac:dyDescent="0.3">
      <c r="A34" s="29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"6004", " - ", "STAFF HOURLY")</f>
        <v xml:space="preserve">          6004 - STAFF HOURLY</v>
      </c>
      <c r="C35" s="11"/>
      <c r="D35" s="6">
        <v>19331.689999999999</v>
      </c>
      <c r="E35" s="2"/>
      <c r="F35" s="7">
        <f t="shared" si="8"/>
        <v>0</v>
      </c>
      <c r="G35" s="2"/>
      <c r="H35" s="6">
        <v>24042.045760000001</v>
      </c>
      <c r="I35" s="2"/>
      <c r="J35" s="7">
        <f t="shared" si="9"/>
        <v>0</v>
      </c>
      <c r="K35" s="2"/>
      <c r="L35" s="6">
        <f t="shared" si="10"/>
        <v>-4710.3557600000022</v>
      </c>
      <c r="M35" s="2"/>
      <c r="N35" s="7">
        <f t="shared" si="11"/>
        <v>-0.19592158699892609</v>
      </c>
      <c r="O35" s="11"/>
      <c r="P35" s="6">
        <v>120970.06</v>
      </c>
      <c r="Q35" s="2"/>
      <c r="R35" s="7">
        <f t="shared" si="12"/>
        <v>0</v>
      </c>
      <c r="S35" s="2"/>
      <c r="T35" s="6">
        <v>156273.29743999999</v>
      </c>
      <c r="U35" s="2"/>
      <c r="V35" s="7">
        <f t="shared" si="13"/>
        <v>0</v>
      </c>
      <c r="W35" s="2"/>
      <c r="X35" s="6">
        <f t="shared" si="14"/>
        <v>-35303.237439999997</v>
      </c>
      <c r="Y35" s="2"/>
      <c r="Z35" s="7">
        <f t="shared" si="15"/>
        <v>-0.22590703606004359</v>
      </c>
    </row>
    <row r="36" spans="1:26" s="24" customFormat="1" hidden="1" outlineLevel="2" x14ac:dyDescent="0.3">
      <c r="A36" s="29"/>
      <c r="B36" s="11" t="str">
        <f>CONCATENATE("          ", "6005", " - ", "TEMPORARY WAGES-HOURLY")</f>
        <v xml:space="preserve">          6005 - TEMPORARY WAGES-HOURLY</v>
      </c>
      <c r="C36" s="11"/>
      <c r="D36" s="6">
        <v>2315.02</v>
      </c>
      <c r="E36" s="2"/>
      <c r="F36" s="7">
        <f t="shared" si="8"/>
        <v>0</v>
      </c>
      <c r="G36" s="2"/>
      <c r="H36" s="6">
        <v>3880</v>
      </c>
      <c r="I36" s="2"/>
      <c r="J36" s="7">
        <f t="shared" si="9"/>
        <v>0</v>
      </c>
      <c r="K36" s="2"/>
      <c r="L36" s="6">
        <f t="shared" si="10"/>
        <v>-1564.98</v>
      </c>
      <c r="M36" s="2"/>
      <c r="N36" s="7">
        <f t="shared" si="11"/>
        <v>-0.40334536082474226</v>
      </c>
      <c r="O36" s="11"/>
      <c r="P36" s="6">
        <v>12222.16</v>
      </c>
      <c r="Q36" s="2"/>
      <c r="R36" s="7">
        <f t="shared" si="12"/>
        <v>0</v>
      </c>
      <c r="S36" s="2"/>
      <c r="T36" s="6">
        <v>25220</v>
      </c>
      <c r="U36" s="2"/>
      <c r="V36" s="7">
        <f t="shared" si="13"/>
        <v>0</v>
      </c>
      <c r="W36" s="2"/>
      <c r="X36" s="6">
        <f t="shared" si="14"/>
        <v>-12997.84</v>
      </c>
      <c r="Y36" s="2"/>
      <c r="Z36" s="7">
        <f t="shared" si="15"/>
        <v>-0.5153782712133228</v>
      </c>
    </row>
    <row r="37" spans="1:26" s="24" customFormat="1" hidden="1" outlineLevel="2" x14ac:dyDescent="0.3">
      <c r="A37" s="29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"6007", " - ", "STUDENT HOURLY")</f>
        <v xml:space="preserve">          6007 - STUDENT HOURLY</v>
      </c>
      <c r="C38" s="11"/>
      <c r="D38" s="6">
        <v>566.26</v>
      </c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566.26</v>
      </c>
      <c r="M38" s="2"/>
      <c r="N38" s="7">
        <f t="shared" si="11"/>
        <v>0</v>
      </c>
      <c r="O38" s="11"/>
      <c r="P38" s="6">
        <v>3065.62</v>
      </c>
      <c r="Q38" s="2"/>
      <c r="R38" s="7">
        <f t="shared" si="12"/>
        <v>0</v>
      </c>
      <c r="S38" s="2"/>
      <c r="T38" s="6">
        <v>8320</v>
      </c>
      <c r="U38" s="2"/>
      <c r="V38" s="7">
        <f t="shared" si="13"/>
        <v>0</v>
      </c>
      <c r="W38" s="2"/>
      <c r="X38" s="6">
        <f t="shared" si="14"/>
        <v>-5254.38</v>
      </c>
      <c r="Y38" s="2"/>
      <c r="Z38" s="7">
        <f t="shared" si="15"/>
        <v>-0.6315360576923077</v>
      </c>
    </row>
    <row r="39" spans="1:26" s="24" customFormat="1" hidden="1" outlineLevel="2" x14ac:dyDescent="0.3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>
        <v>2209.5700000000002</v>
      </c>
      <c r="E39" s="2"/>
      <c r="F39" s="7">
        <f t="shared" si="8"/>
        <v>0</v>
      </c>
      <c r="G39" s="2"/>
      <c r="H39" s="6">
        <v>4800</v>
      </c>
      <c r="I39" s="2"/>
      <c r="J39" s="7">
        <f t="shared" si="9"/>
        <v>0</v>
      </c>
      <c r="K39" s="2"/>
      <c r="L39" s="6">
        <f t="shared" si="10"/>
        <v>-2590.4299999999998</v>
      </c>
      <c r="M39" s="2"/>
      <c r="N39" s="7">
        <f t="shared" si="11"/>
        <v>-0.53967291666666661</v>
      </c>
      <c r="O39" s="11"/>
      <c r="P39" s="6">
        <v>11475.2</v>
      </c>
      <c r="Q39" s="2"/>
      <c r="R39" s="7">
        <f t="shared" si="12"/>
        <v>0</v>
      </c>
      <c r="S39" s="2"/>
      <c r="T39" s="6">
        <v>17840</v>
      </c>
      <c r="U39" s="2"/>
      <c r="V39" s="7">
        <f t="shared" si="13"/>
        <v>0</v>
      </c>
      <c r="W39" s="2"/>
      <c r="X39" s="6">
        <f t="shared" si="14"/>
        <v>-6364.7999999999993</v>
      </c>
      <c r="Y39" s="2"/>
      <c r="Z39" s="7">
        <f t="shared" si="15"/>
        <v>-0.35677130044843047</v>
      </c>
    </row>
    <row r="40" spans="1:26" s="24" customFormat="1" hidden="1" outlineLevel="2" x14ac:dyDescent="0.3">
      <c r="A40" s="29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4" customFormat="1" hidden="1" outlineLevel="2" x14ac:dyDescent="0.3">
      <c r="A41" s="29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8"/>
        <v>0</v>
      </c>
      <c r="G41" s="2"/>
      <c r="H41" s="6">
        <v>0</v>
      </c>
      <c r="I41" s="2"/>
      <c r="J41" s="7">
        <f t="shared" si="9"/>
        <v>0</v>
      </c>
      <c r="K41" s="2"/>
      <c r="L41" s="6">
        <f t="shared" si="10"/>
        <v>0</v>
      </c>
      <c r="M41" s="2"/>
      <c r="N41" s="7">
        <f t="shared" si="11"/>
        <v>0</v>
      </c>
      <c r="O41" s="11"/>
      <c r="P41" s="6"/>
      <c r="Q41" s="2"/>
      <c r="R41" s="7">
        <f t="shared" si="12"/>
        <v>0</v>
      </c>
      <c r="S41" s="2"/>
      <c r="T41" s="6">
        <v>0</v>
      </c>
      <c r="U41" s="2"/>
      <c r="V41" s="7">
        <f t="shared" si="13"/>
        <v>0</v>
      </c>
      <c r="W41" s="2"/>
      <c r="X41" s="6">
        <f t="shared" si="14"/>
        <v>0</v>
      </c>
      <c r="Y41" s="2"/>
      <c r="Z41" s="7">
        <f t="shared" si="15"/>
        <v>0</v>
      </c>
    </row>
    <row r="42" spans="1:26" s="28" customFormat="1" outlineLevel="1" collapsed="1" x14ac:dyDescent="0.3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1780.99</v>
      </c>
      <c r="E42" s="1"/>
      <c r="F42" s="5">
        <f t="shared" ref="F42:F50" si="16">IF(D$12=0,0,D42/D$12)</f>
        <v>0</v>
      </c>
      <c r="G42" s="1"/>
      <c r="H42" s="1">
        <f>SUM(OSRRefH22_2x_0)</f>
        <v>817</v>
      </c>
      <c r="I42" s="1"/>
      <c r="J42" s="5">
        <f t="shared" ref="J42:J50" si="17">IF(H$12=0,0,H42/H$12)</f>
        <v>0</v>
      </c>
      <c r="K42" s="1"/>
      <c r="L42" s="1">
        <f t="shared" ref="L42:L50" si="18">+D42-H42</f>
        <v>963.99</v>
      </c>
      <c r="M42" s="1"/>
      <c r="N42" s="5">
        <f t="shared" ref="N42:N50" si="19">IF(H42=0,0,L42/H42)</f>
        <v>1.1799143206854346</v>
      </c>
      <c r="O42" s="14"/>
      <c r="P42" s="1">
        <f>SUM(OSRRefP22_2x_0)</f>
        <v>3403.53</v>
      </c>
      <c r="Q42" s="1"/>
      <c r="R42" s="5">
        <f t="shared" ref="R42:R50" si="20">IF(P$12=0,0,P42/P$12)</f>
        <v>0</v>
      </c>
      <c r="S42" s="1"/>
      <c r="T42" s="1">
        <f>SUM(OSRRefT22_2x_0)</f>
        <v>4502</v>
      </c>
      <c r="U42" s="1"/>
      <c r="V42" s="5">
        <f t="shared" ref="V42:V50" si="21">IF(T$12=0,0,T42/T$12)</f>
        <v>0</v>
      </c>
      <c r="W42" s="1"/>
      <c r="X42" s="1">
        <f t="shared" ref="X42:X50" si="22">+P42-T42</f>
        <v>-1098.4699999999998</v>
      </c>
      <c r="Y42" s="1"/>
      <c r="Z42" s="5">
        <f t="shared" ref="Z42:Z50" si="23">IF(T42=0,0,X42/T42)</f>
        <v>-0.24399600177698796</v>
      </c>
    </row>
    <row r="43" spans="1:26" s="24" customFormat="1" hidden="1" outlineLevel="2" x14ac:dyDescent="0.3">
      <c r="A43" s="29"/>
      <c r="B43" s="11" t="str">
        <f>CONCATENATE("          ", "6362", " - ", "ADVERTISING EXPENSE")</f>
        <v xml:space="preserve">          6362 - ADVERTISING EXPENSE</v>
      </c>
      <c r="C43" s="11"/>
      <c r="D43" s="6">
        <v>1780.99</v>
      </c>
      <c r="E43" s="2"/>
      <c r="F43" s="7">
        <f t="shared" si="16"/>
        <v>0</v>
      </c>
      <c r="G43" s="2"/>
      <c r="H43" s="6">
        <v>817</v>
      </c>
      <c r="I43" s="2"/>
      <c r="J43" s="7">
        <f t="shared" si="17"/>
        <v>0</v>
      </c>
      <c r="K43" s="2"/>
      <c r="L43" s="6">
        <f t="shared" si="18"/>
        <v>963.99</v>
      </c>
      <c r="M43" s="2"/>
      <c r="N43" s="7">
        <f t="shared" si="19"/>
        <v>1.1799143206854346</v>
      </c>
      <c r="O43" s="11"/>
      <c r="P43" s="6">
        <v>3403.53</v>
      </c>
      <c r="Q43" s="2"/>
      <c r="R43" s="7">
        <f t="shared" si="20"/>
        <v>0</v>
      </c>
      <c r="S43" s="2"/>
      <c r="T43" s="6">
        <v>4502</v>
      </c>
      <c r="U43" s="2"/>
      <c r="V43" s="7">
        <f t="shared" si="21"/>
        <v>0</v>
      </c>
      <c r="W43" s="2"/>
      <c r="X43" s="6">
        <f t="shared" si="22"/>
        <v>-1098.4699999999998</v>
      </c>
      <c r="Y43" s="2"/>
      <c r="Z43" s="7">
        <f t="shared" si="23"/>
        <v>-0.24399600177698796</v>
      </c>
    </row>
    <row r="44" spans="1:26" s="28" customFormat="1" outlineLevel="1" collapsed="1" x14ac:dyDescent="0.3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119.71</v>
      </c>
      <c r="E44" s="1"/>
      <c r="F44" s="5">
        <f t="shared" si="16"/>
        <v>0</v>
      </c>
      <c r="G44" s="1"/>
      <c r="H44" s="1">
        <f>SUM(OSRRefH22_3x_0)</f>
        <v>2000</v>
      </c>
      <c r="I44" s="1"/>
      <c r="J44" s="5">
        <f t="shared" si="17"/>
        <v>0</v>
      </c>
      <c r="K44" s="1"/>
      <c r="L44" s="1">
        <f t="shared" si="18"/>
        <v>-1880.29</v>
      </c>
      <c r="M44" s="1"/>
      <c r="N44" s="5">
        <f t="shared" si="19"/>
        <v>-0.94014500000000001</v>
      </c>
      <c r="O44" s="14"/>
      <c r="P44" s="1">
        <f>SUM(OSRRefP22_3x_0)</f>
        <v>5598.93</v>
      </c>
      <c r="Q44" s="1"/>
      <c r="R44" s="5">
        <f t="shared" si="20"/>
        <v>0</v>
      </c>
      <c r="S44" s="1"/>
      <c r="T44" s="1">
        <f>SUM(OSRRefT22_3x_0)</f>
        <v>18000</v>
      </c>
      <c r="U44" s="1"/>
      <c r="V44" s="5">
        <f t="shared" si="21"/>
        <v>0</v>
      </c>
      <c r="W44" s="1"/>
      <c r="X44" s="1">
        <f t="shared" si="22"/>
        <v>-12401.07</v>
      </c>
      <c r="Y44" s="1"/>
      <c r="Z44" s="5">
        <f t="shared" si="23"/>
        <v>-0.68894833333333327</v>
      </c>
    </row>
    <row r="45" spans="1:26" s="24" customFormat="1" hidden="1" outlineLevel="2" x14ac:dyDescent="0.3">
      <c r="A45" s="29"/>
      <c r="B45" s="11" t="str">
        <f>CONCATENATE("          ", "6381", " - ", "BANK/CREDIT CARD FEES")</f>
        <v xml:space="preserve">          6381 - BANK/CREDIT CARD FEES</v>
      </c>
      <c r="C45" s="11"/>
      <c r="D45" s="6">
        <v>119.71</v>
      </c>
      <c r="E45" s="2"/>
      <c r="F45" s="7">
        <f t="shared" si="16"/>
        <v>0</v>
      </c>
      <c r="G45" s="2"/>
      <c r="H45" s="6">
        <v>2000</v>
      </c>
      <c r="I45" s="2"/>
      <c r="J45" s="7">
        <f t="shared" si="17"/>
        <v>0</v>
      </c>
      <c r="K45" s="2"/>
      <c r="L45" s="6">
        <f t="shared" si="18"/>
        <v>-1880.29</v>
      </c>
      <c r="M45" s="2"/>
      <c r="N45" s="7">
        <f t="shared" si="19"/>
        <v>-0.94014500000000001</v>
      </c>
      <c r="O45" s="11"/>
      <c r="P45" s="6">
        <v>5598.93</v>
      </c>
      <c r="Q45" s="2"/>
      <c r="R45" s="7">
        <f t="shared" si="20"/>
        <v>0</v>
      </c>
      <c r="S45" s="2"/>
      <c r="T45" s="6">
        <v>18000</v>
      </c>
      <c r="U45" s="2"/>
      <c r="V45" s="7">
        <f t="shared" si="21"/>
        <v>0</v>
      </c>
      <c r="W45" s="2"/>
      <c r="X45" s="6">
        <f t="shared" si="22"/>
        <v>-12401.07</v>
      </c>
      <c r="Y45" s="2"/>
      <c r="Z45" s="7">
        <f t="shared" si="23"/>
        <v>-0.68894833333333327</v>
      </c>
    </row>
    <row r="46" spans="1:26" s="28" customFormat="1" outlineLevel="1" collapsed="1" x14ac:dyDescent="0.3">
      <c r="A46" s="27"/>
      <c r="B46" s="14" t="str">
        <f>CONCATENATE("     ","Board                                             ")</f>
        <v xml:space="preserve">     Board                                             </v>
      </c>
      <c r="C46" s="14"/>
      <c r="D46" s="1">
        <f>SUM(OSRRefD22_4x_0)</f>
        <v>1336.68</v>
      </c>
      <c r="E46" s="1"/>
      <c r="F46" s="5">
        <f t="shared" si="16"/>
        <v>0</v>
      </c>
      <c r="G46" s="1"/>
      <c r="H46" s="1">
        <f>SUM(OSRRefH22_4x_0)</f>
        <v>3008</v>
      </c>
      <c r="I46" s="1"/>
      <c r="J46" s="5">
        <f t="shared" si="17"/>
        <v>0</v>
      </c>
      <c r="K46" s="1"/>
      <c r="L46" s="1">
        <f t="shared" si="18"/>
        <v>-1671.32</v>
      </c>
      <c r="M46" s="1"/>
      <c r="N46" s="5">
        <f t="shared" si="19"/>
        <v>-0.55562499999999992</v>
      </c>
      <c r="O46" s="14"/>
      <c r="P46" s="1">
        <f>SUM(OSRRefP22_4x_0)</f>
        <v>7656.51</v>
      </c>
      <c r="Q46" s="1"/>
      <c r="R46" s="5">
        <f t="shared" si="20"/>
        <v>0</v>
      </c>
      <c r="S46" s="1"/>
      <c r="T46" s="1">
        <f>SUM(OSRRefT22_4x_0)</f>
        <v>9548</v>
      </c>
      <c r="U46" s="1"/>
      <c r="V46" s="5">
        <f t="shared" si="21"/>
        <v>0</v>
      </c>
      <c r="W46" s="1"/>
      <c r="X46" s="1">
        <f t="shared" si="22"/>
        <v>-1891.4899999999998</v>
      </c>
      <c r="Y46" s="1"/>
      <c r="Z46" s="5">
        <f t="shared" si="23"/>
        <v>-0.19810326770004186</v>
      </c>
    </row>
    <row r="47" spans="1:26" s="24" customFormat="1" hidden="1" outlineLevel="2" x14ac:dyDescent="0.3">
      <c r="A47" s="29"/>
      <c r="B47" s="11" t="str">
        <f>CONCATENATE("          ", "6397", " - ", "BOARD EXPENSES")</f>
        <v xml:space="preserve">          6397 - BOARD EXPENSES</v>
      </c>
      <c r="C47" s="11"/>
      <c r="D47" s="6">
        <v>1336.68</v>
      </c>
      <c r="E47" s="2"/>
      <c r="F47" s="7">
        <f t="shared" si="16"/>
        <v>0</v>
      </c>
      <c r="G47" s="2"/>
      <c r="H47" s="6">
        <v>3008</v>
      </c>
      <c r="I47" s="2"/>
      <c r="J47" s="7">
        <f t="shared" si="17"/>
        <v>0</v>
      </c>
      <c r="K47" s="2"/>
      <c r="L47" s="6">
        <f t="shared" si="18"/>
        <v>-1671.32</v>
      </c>
      <c r="M47" s="2"/>
      <c r="N47" s="7">
        <f t="shared" si="19"/>
        <v>-0.55562499999999992</v>
      </c>
      <c r="O47" s="11"/>
      <c r="P47" s="6">
        <v>7656.51</v>
      </c>
      <c r="Q47" s="2"/>
      <c r="R47" s="7">
        <f t="shared" si="20"/>
        <v>0</v>
      </c>
      <c r="S47" s="2"/>
      <c r="T47" s="6">
        <v>9548</v>
      </c>
      <c r="U47" s="2"/>
      <c r="V47" s="7">
        <f t="shared" si="21"/>
        <v>0</v>
      </c>
      <c r="W47" s="2"/>
      <c r="X47" s="6">
        <f t="shared" si="22"/>
        <v>-1891.4899999999998</v>
      </c>
      <c r="Y47" s="2"/>
      <c r="Z47" s="7">
        <f t="shared" si="23"/>
        <v>-0.19810326770004186</v>
      </c>
    </row>
    <row r="48" spans="1:26" s="28" customFormat="1" outlineLevel="1" collapsed="1" x14ac:dyDescent="0.3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4014.64</v>
      </c>
      <c r="E48" s="1"/>
      <c r="F48" s="5">
        <f t="shared" si="16"/>
        <v>0</v>
      </c>
      <c r="G48" s="1"/>
      <c r="H48" s="1">
        <f>SUM(OSRRefH22_5x_0)</f>
        <v>3973</v>
      </c>
      <c r="I48" s="1"/>
      <c r="J48" s="5">
        <f t="shared" si="17"/>
        <v>0</v>
      </c>
      <c r="K48" s="1"/>
      <c r="L48" s="1">
        <f t="shared" si="18"/>
        <v>41.639999999999873</v>
      </c>
      <c r="M48" s="1"/>
      <c r="N48" s="5">
        <f t="shared" si="19"/>
        <v>1.0480745028945349E-2</v>
      </c>
      <c r="O48" s="14"/>
      <c r="P48" s="1">
        <f>SUM(OSRRefP22_5x_0)</f>
        <v>32960.28</v>
      </c>
      <c r="Q48" s="1"/>
      <c r="R48" s="5">
        <f t="shared" si="20"/>
        <v>0</v>
      </c>
      <c r="S48" s="1"/>
      <c r="T48" s="1">
        <f>SUM(OSRRefT22_5x_0)</f>
        <v>32709</v>
      </c>
      <c r="U48" s="1"/>
      <c r="V48" s="5">
        <f t="shared" si="21"/>
        <v>0</v>
      </c>
      <c r="W48" s="1"/>
      <c r="X48" s="1">
        <f t="shared" si="22"/>
        <v>251.27999999999884</v>
      </c>
      <c r="Y48" s="1"/>
      <c r="Z48" s="5">
        <f t="shared" si="23"/>
        <v>7.6822892781802819E-3</v>
      </c>
    </row>
    <row r="49" spans="1:26" s="24" customFormat="1" hidden="1" outlineLevel="2" x14ac:dyDescent="0.3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4014.64</v>
      </c>
      <c r="E49" s="2"/>
      <c r="F49" s="7">
        <f t="shared" si="16"/>
        <v>0</v>
      </c>
      <c r="G49" s="2"/>
      <c r="H49" s="6">
        <v>3473</v>
      </c>
      <c r="I49" s="2"/>
      <c r="J49" s="7">
        <f t="shared" si="17"/>
        <v>0</v>
      </c>
      <c r="K49" s="2"/>
      <c r="L49" s="6">
        <f t="shared" si="18"/>
        <v>541.63999999999987</v>
      </c>
      <c r="M49" s="2"/>
      <c r="N49" s="7">
        <f t="shared" si="19"/>
        <v>0.15595738554563773</v>
      </c>
      <c r="O49" s="11"/>
      <c r="P49" s="6">
        <v>32960.28</v>
      </c>
      <c r="Q49" s="2"/>
      <c r="R49" s="7">
        <f t="shared" si="20"/>
        <v>0</v>
      </c>
      <c r="S49" s="2"/>
      <c r="T49" s="6">
        <v>29709</v>
      </c>
      <c r="U49" s="2"/>
      <c r="V49" s="7">
        <f t="shared" si="21"/>
        <v>0</v>
      </c>
      <c r="W49" s="2"/>
      <c r="X49" s="6">
        <f t="shared" si="22"/>
        <v>3251.2799999999988</v>
      </c>
      <c r="Y49" s="2"/>
      <c r="Z49" s="7">
        <f t="shared" si="23"/>
        <v>0.10943754417853171</v>
      </c>
    </row>
    <row r="50" spans="1:26" s="24" customFormat="1" hidden="1" outlineLevel="2" x14ac:dyDescent="0.3">
      <c r="A50" s="29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16"/>
        <v>0</v>
      </c>
      <c r="G50" s="2"/>
      <c r="H50" s="6">
        <v>500</v>
      </c>
      <c r="I50" s="2"/>
      <c r="J50" s="7">
        <f t="shared" si="17"/>
        <v>0</v>
      </c>
      <c r="K50" s="2"/>
      <c r="L50" s="6">
        <f t="shared" si="18"/>
        <v>-500</v>
      </c>
      <c r="M50" s="2"/>
      <c r="N50" s="7">
        <f t="shared" si="19"/>
        <v>-1</v>
      </c>
      <c r="O50" s="11"/>
      <c r="P50" s="6"/>
      <c r="Q50" s="2"/>
      <c r="R50" s="7">
        <f t="shared" si="20"/>
        <v>0</v>
      </c>
      <c r="S50" s="2"/>
      <c r="T50" s="6">
        <v>3000</v>
      </c>
      <c r="U50" s="2"/>
      <c r="V50" s="7">
        <f t="shared" si="21"/>
        <v>0</v>
      </c>
      <c r="W50" s="2"/>
      <c r="X50" s="6">
        <f t="shared" si="22"/>
        <v>-3000</v>
      </c>
      <c r="Y50" s="2"/>
      <c r="Z50" s="7">
        <f t="shared" si="23"/>
        <v>-1</v>
      </c>
    </row>
    <row r="51" spans="1:26" s="28" customFormat="1" outlineLevel="1" collapsed="1" x14ac:dyDescent="0.3">
      <c r="A51" s="27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300</v>
      </c>
      <c r="E51" s="1"/>
      <c r="F51" s="5">
        <f t="shared" ref="F51:F67" si="24">IF(D$12=0,0,D51/D$12)</f>
        <v>0</v>
      </c>
      <c r="G51" s="1"/>
      <c r="H51" s="1">
        <f>SUM(OSRRefH22_6x_0)</f>
        <v>1500</v>
      </c>
      <c r="I51" s="1"/>
      <c r="J51" s="5">
        <f t="shared" ref="J51:J67" si="25">IF(H$12=0,0,H51/H$12)</f>
        <v>0</v>
      </c>
      <c r="K51" s="1"/>
      <c r="L51" s="1">
        <f t="shared" ref="L51:L67" si="26">+D51-H51</f>
        <v>-1200</v>
      </c>
      <c r="M51" s="1"/>
      <c r="N51" s="5">
        <f t="shared" ref="N51:N67" si="27">IF(H51=0,0,L51/H51)</f>
        <v>-0.8</v>
      </c>
      <c r="O51" s="14"/>
      <c r="P51" s="1">
        <f>SUM(OSRRefP22_6x_0)</f>
        <v>25300</v>
      </c>
      <c r="Q51" s="1"/>
      <c r="R51" s="5">
        <f t="shared" ref="R51:R67" si="28">IF(P$12=0,0,P51/P$12)</f>
        <v>0</v>
      </c>
      <c r="S51" s="1"/>
      <c r="T51" s="1">
        <f>SUM(OSRRefT22_6x_0)</f>
        <v>42450</v>
      </c>
      <c r="U51" s="1"/>
      <c r="V51" s="5">
        <f t="shared" ref="V51:V67" si="29">IF(T$12=0,0,T51/T$12)</f>
        <v>0</v>
      </c>
      <c r="W51" s="1"/>
      <c r="X51" s="1">
        <f t="shared" ref="X51:X67" si="30">+P51-T51</f>
        <v>-17150</v>
      </c>
      <c r="Y51" s="1"/>
      <c r="Z51" s="5">
        <f t="shared" ref="Z51:Z67" si="31">IF(T51=0,0,X51/T51)</f>
        <v>-0.40400471142520611</v>
      </c>
    </row>
    <row r="52" spans="1:26" s="24" customFormat="1" hidden="1" outlineLevel="2" x14ac:dyDescent="0.3">
      <c r="A52" s="29"/>
      <c r="B52" s="11" t="str">
        <f>CONCATENATE("          ", "6399", " - ", "DONATION-ON CAMPUS")</f>
        <v xml:space="preserve">          6399 - DONATION-ON CAMPUS</v>
      </c>
      <c r="C52" s="11"/>
      <c r="D52" s="6">
        <v>300</v>
      </c>
      <c r="E52" s="2"/>
      <c r="F52" s="7">
        <f t="shared" si="24"/>
        <v>0</v>
      </c>
      <c r="G52" s="2"/>
      <c r="H52" s="6">
        <v>1500</v>
      </c>
      <c r="I52" s="2"/>
      <c r="J52" s="7">
        <f t="shared" si="25"/>
        <v>0</v>
      </c>
      <c r="K52" s="2"/>
      <c r="L52" s="6">
        <f t="shared" si="26"/>
        <v>-1200</v>
      </c>
      <c r="M52" s="2"/>
      <c r="N52" s="7">
        <f t="shared" si="27"/>
        <v>-0.8</v>
      </c>
      <c r="O52" s="11"/>
      <c r="P52" s="6">
        <v>25300</v>
      </c>
      <c r="Q52" s="2"/>
      <c r="R52" s="7">
        <f t="shared" si="28"/>
        <v>0</v>
      </c>
      <c r="S52" s="2"/>
      <c r="T52" s="6">
        <v>42450</v>
      </c>
      <c r="U52" s="2"/>
      <c r="V52" s="7">
        <f t="shared" si="29"/>
        <v>0</v>
      </c>
      <c r="W52" s="2"/>
      <c r="X52" s="6">
        <f t="shared" si="30"/>
        <v>-17150</v>
      </c>
      <c r="Y52" s="2"/>
      <c r="Z52" s="7">
        <f t="shared" si="31"/>
        <v>-0.40400471142520611</v>
      </c>
    </row>
    <row r="53" spans="1:26" s="28" customFormat="1" outlineLevel="1" collapsed="1" x14ac:dyDescent="0.3">
      <c r="A53" s="27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8.02</v>
      </c>
      <c r="E53" s="1"/>
      <c r="F53" s="5">
        <f t="shared" si="24"/>
        <v>0</v>
      </c>
      <c r="G53" s="1"/>
      <c r="H53" s="1">
        <f>SUM(OSRRefH22_7x_0)</f>
        <v>3250</v>
      </c>
      <c r="I53" s="1"/>
      <c r="J53" s="5">
        <f t="shared" si="25"/>
        <v>0</v>
      </c>
      <c r="K53" s="1"/>
      <c r="L53" s="1">
        <f t="shared" si="26"/>
        <v>-3241.98</v>
      </c>
      <c r="M53" s="1"/>
      <c r="N53" s="5">
        <f t="shared" si="27"/>
        <v>-0.99753230769230772</v>
      </c>
      <c r="O53" s="14"/>
      <c r="P53" s="1">
        <f>SUM(OSRRefP22_7x_0)</f>
        <v>8.02</v>
      </c>
      <c r="Q53" s="1"/>
      <c r="R53" s="5">
        <f t="shared" si="28"/>
        <v>0</v>
      </c>
      <c r="S53" s="1"/>
      <c r="T53" s="1">
        <f>SUM(OSRRefT22_7x_0)</f>
        <v>5000</v>
      </c>
      <c r="U53" s="1"/>
      <c r="V53" s="5">
        <f t="shared" si="29"/>
        <v>0</v>
      </c>
      <c r="W53" s="1"/>
      <c r="X53" s="1">
        <f t="shared" si="30"/>
        <v>-4991.9799999999996</v>
      </c>
      <c r="Y53" s="1"/>
      <c r="Z53" s="5">
        <f t="shared" si="31"/>
        <v>-0.99839599999999995</v>
      </c>
    </row>
    <row r="54" spans="1:26" s="24" customFormat="1" hidden="1" outlineLevel="2" x14ac:dyDescent="0.3">
      <c r="A54" s="29"/>
      <c r="B54" s="11" t="str">
        <f>CONCATENATE("          ", "6277", " - ", "EMPLOYEE APPRECIATION")</f>
        <v xml:space="preserve">          6277 - EMPLOYEE APPRECIATION</v>
      </c>
      <c r="C54" s="11"/>
      <c r="D54" s="6">
        <v>8.02</v>
      </c>
      <c r="E54" s="2"/>
      <c r="F54" s="7">
        <f t="shared" si="24"/>
        <v>0</v>
      </c>
      <c r="G54" s="2"/>
      <c r="H54" s="6">
        <v>3250</v>
      </c>
      <c r="I54" s="2"/>
      <c r="J54" s="7">
        <f t="shared" si="25"/>
        <v>0</v>
      </c>
      <c r="K54" s="2"/>
      <c r="L54" s="6">
        <f t="shared" si="26"/>
        <v>-3241.98</v>
      </c>
      <c r="M54" s="2"/>
      <c r="N54" s="7">
        <f t="shared" si="27"/>
        <v>-0.99753230769230772</v>
      </c>
      <c r="O54" s="11"/>
      <c r="P54" s="6">
        <v>8.02</v>
      </c>
      <c r="Q54" s="2"/>
      <c r="R54" s="7">
        <f t="shared" si="28"/>
        <v>0</v>
      </c>
      <c r="S54" s="2"/>
      <c r="T54" s="6">
        <v>5000</v>
      </c>
      <c r="U54" s="2"/>
      <c r="V54" s="7">
        <f t="shared" si="29"/>
        <v>0</v>
      </c>
      <c r="W54" s="2"/>
      <c r="X54" s="6">
        <f t="shared" si="30"/>
        <v>-4991.9799999999996</v>
      </c>
      <c r="Y54" s="2"/>
      <c r="Z54" s="7">
        <f t="shared" si="31"/>
        <v>-0.99839599999999995</v>
      </c>
    </row>
    <row r="55" spans="1:26" s="28" customFormat="1" outlineLevel="1" collapsed="1" x14ac:dyDescent="0.3">
      <c r="A55" s="27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208.97</v>
      </c>
      <c r="E55" s="1"/>
      <c r="F55" s="5">
        <f t="shared" si="24"/>
        <v>0</v>
      </c>
      <c r="G55" s="1"/>
      <c r="H55" s="1">
        <f>SUM(OSRRefH22_8x_0)</f>
        <v>284</v>
      </c>
      <c r="I55" s="1"/>
      <c r="J55" s="5">
        <f t="shared" si="25"/>
        <v>0</v>
      </c>
      <c r="K55" s="1"/>
      <c r="L55" s="1">
        <f t="shared" si="26"/>
        <v>-75.03</v>
      </c>
      <c r="M55" s="1"/>
      <c r="N55" s="5">
        <f t="shared" si="27"/>
        <v>-0.26419014084507042</v>
      </c>
      <c r="O55" s="14"/>
      <c r="P55" s="1">
        <f>SUM(OSRRefP22_8x_0)</f>
        <v>1253.82</v>
      </c>
      <c r="Q55" s="1"/>
      <c r="R55" s="5">
        <f t="shared" si="28"/>
        <v>0</v>
      </c>
      <c r="S55" s="1"/>
      <c r="T55" s="1">
        <f>SUM(OSRRefT22_8x_0)</f>
        <v>1704</v>
      </c>
      <c r="U55" s="1"/>
      <c r="V55" s="5">
        <f t="shared" si="29"/>
        <v>0</v>
      </c>
      <c r="W55" s="1"/>
      <c r="X55" s="1">
        <f t="shared" si="30"/>
        <v>-450.18000000000006</v>
      </c>
      <c r="Y55" s="1"/>
      <c r="Z55" s="5">
        <f t="shared" si="31"/>
        <v>-0.26419014084507048</v>
      </c>
    </row>
    <row r="56" spans="1:26" s="24" customFormat="1" hidden="1" outlineLevel="2" x14ac:dyDescent="0.3">
      <c r="A56" s="29"/>
      <c r="B56" s="11" t="str">
        <f>CONCATENATE("          ", "6351", " - ", "EQUIPMENT RENTAL")</f>
        <v xml:space="preserve">          6351 - EQUIPMENT RENTAL</v>
      </c>
      <c r="C56" s="11"/>
      <c r="D56" s="6">
        <v>208.97</v>
      </c>
      <c r="E56" s="2"/>
      <c r="F56" s="7">
        <f t="shared" si="24"/>
        <v>0</v>
      </c>
      <c r="G56" s="2"/>
      <c r="H56" s="6">
        <v>284</v>
      </c>
      <c r="I56" s="2"/>
      <c r="J56" s="7">
        <f t="shared" si="25"/>
        <v>0</v>
      </c>
      <c r="K56" s="2"/>
      <c r="L56" s="6">
        <f t="shared" si="26"/>
        <v>-75.03</v>
      </c>
      <c r="M56" s="2"/>
      <c r="N56" s="7">
        <f t="shared" si="27"/>
        <v>-0.26419014084507042</v>
      </c>
      <c r="O56" s="11"/>
      <c r="P56" s="6">
        <v>1253.82</v>
      </c>
      <c r="Q56" s="2"/>
      <c r="R56" s="7">
        <f t="shared" si="28"/>
        <v>0</v>
      </c>
      <c r="S56" s="2"/>
      <c r="T56" s="6">
        <v>1704</v>
      </c>
      <c r="U56" s="2"/>
      <c r="V56" s="7">
        <f t="shared" si="29"/>
        <v>0</v>
      </c>
      <c r="W56" s="2"/>
      <c r="X56" s="6">
        <f t="shared" si="30"/>
        <v>-450.18000000000006</v>
      </c>
      <c r="Y56" s="2"/>
      <c r="Z56" s="7">
        <f t="shared" si="31"/>
        <v>-0.26419014084507048</v>
      </c>
    </row>
    <row r="57" spans="1:26" s="28" customFormat="1" outlineLevel="1" collapsed="1" x14ac:dyDescent="0.3">
      <c r="A57" s="27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154.88999999999999</v>
      </c>
      <c r="E57" s="1"/>
      <c r="F57" s="5">
        <f t="shared" si="24"/>
        <v>0</v>
      </c>
      <c r="G57" s="1"/>
      <c r="H57" s="1">
        <f>SUM(OSRRefH22_9x_0)</f>
        <v>285</v>
      </c>
      <c r="I57" s="1"/>
      <c r="J57" s="5">
        <f t="shared" si="25"/>
        <v>0</v>
      </c>
      <c r="K57" s="1"/>
      <c r="L57" s="1">
        <f t="shared" si="26"/>
        <v>-130.11000000000001</v>
      </c>
      <c r="M57" s="1"/>
      <c r="N57" s="5">
        <f t="shared" si="27"/>
        <v>-0.45652631578947372</v>
      </c>
      <c r="O57" s="14"/>
      <c r="P57" s="1">
        <f>SUM(OSRRefP22_9x_0)</f>
        <v>1018.01</v>
      </c>
      <c r="Q57" s="1"/>
      <c r="R57" s="5">
        <f t="shared" si="28"/>
        <v>0</v>
      </c>
      <c r="S57" s="1"/>
      <c r="T57" s="1">
        <f>SUM(OSRRefT22_9x_0)</f>
        <v>1295</v>
      </c>
      <c r="U57" s="1"/>
      <c r="V57" s="5">
        <f t="shared" si="29"/>
        <v>0</v>
      </c>
      <c r="W57" s="1"/>
      <c r="X57" s="1">
        <f t="shared" si="30"/>
        <v>-276.99</v>
      </c>
      <c r="Y57" s="1"/>
      <c r="Z57" s="5">
        <f t="shared" si="31"/>
        <v>-0.21389189189189189</v>
      </c>
    </row>
    <row r="58" spans="1:26" s="24" customFormat="1" hidden="1" outlineLevel="2" x14ac:dyDescent="0.3">
      <c r="A58" s="29"/>
      <c r="B58" s="11" t="str">
        <f>CONCATENATE("          ", "6307", " - ", "POSTAGE")</f>
        <v xml:space="preserve">          6307 - POSTAGE</v>
      </c>
      <c r="C58" s="11"/>
      <c r="D58" s="6">
        <v>154.88999999999999</v>
      </c>
      <c r="E58" s="2"/>
      <c r="F58" s="7">
        <f t="shared" si="24"/>
        <v>0</v>
      </c>
      <c r="G58" s="2"/>
      <c r="H58" s="6">
        <v>285</v>
      </c>
      <c r="I58" s="2"/>
      <c r="J58" s="7">
        <f t="shared" si="25"/>
        <v>0</v>
      </c>
      <c r="K58" s="2"/>
      <c r="L58" s="6">
        <f t="shared" si="26"/>
        <v>-130.11000000000001</v>
      </c>
      <c r="M58" s="2"/>
      <c r="N58" s="7">
        <f t="shared" si="27"/>
        <v>-0.45652631578947372</v>
      </c>
      <c r="O58" s="11"/>
      <c r="P58" s="6">
        <v>1018.01</v>
      </c>
      <c r="Q58" s="2"/>
      <c r="R58" s="7">
        <f t="shared" si="28"/>
        <v>0</v>
      </c>
      <c r="S58" s="2"/>
      <c r="T58" s="6">
        <v>1295</v>
      </c>
      <c r="U58" s="2"/>
      <c r="V58" s="7">
        <f t="shared" si="29"/>
        <v>0</v>
      </c>
      <c r="W58" s="2"/>
      <c r="X58" s="6">
        <f t="shared" si="30"/>
        <v>-276.99</v>
      </c>
      <c r="Y58" s="2"/>
      <c r="Z58" s="7">
        <f t="shared" si="31"/>
        <v>-0.21389189189189189</v>
      </c>
    </row>
    <row r="59" spans="1:26" s="28" customFormat="1" outlineLevel="1" collapsed="1" x14ac:dyDescent="0.3">
      <c r="A59" s="27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189.5</v>
      </c>
      <c r="E59" s="1"/>
      <c r="F59" s="5">
        <f t="shared" si="24"/>
        <v>0</v>
      </c>
      <c r="G59" s="1"/>
      <c r="H59" s="1">
        <f>SUM(OSRRefH22_10x_0)</f>
        <v>-150</v>
      </c>
      <c r="I59" s="1"/>
      <c r="J59" s="5">
        <f t="shared" si="25"/>
        <v>0</v>
      </c>
      <c r="K59" s="1"/>
      <c r="L59" s="1">
        <f t="shared" si="26"/>
        <v>339.5</v>
      </c>
      <c r="M59" s="1"/>
      <c r="N59" s="5">
        <f t="shared" si="27"/>
        <v>-2.2633333333333332</v>
      </c>
      <c r="O59" s="14"/>
      <c r="P59" s="1">
        <f>SUM(OSRRefP22_10x_0)</f>
        <v>1773.68</v>
      </c>
      <c r="Q59" s="1"/>
      <c r="R59" s="5">
        <f t="shared" si="28"/>
        <v>0</v>
      </c>
      <c r="S59" s="1"/>
      <c r="T59" s="1">
        <f>SUM(OSRRefT22_10x_0)</f>
        <v>-600</v>
      </c>
      <c r="U59" s="1"/>
      <c r="V59" s="5">
        <f t="shared" si="29"/>
        <v>0</v>
      </c>
      <c r="W59" s="1"/>
      <c r="X59" s="1">
        <f t="shared" si="30"/>
        <v>2373.6800000000003</v>
      </c>
      <c r="Y59" s="1"/>
      <c r="Z59" s="5">
        <f t="shared" si="31"/>
        <v>-3.9561333333333337</v>
      </c>
    </row>
    <row r="60" spans="1:26" s="24" customFormat="1" hidden="1" outlineLevel="2" x14ac:dyDescent="0.3">
      <c r="A60" s="29"/>
      <c r="B60" s="11" t="str">
        <f>CONCATENATE("          ", "6279", " - ", "GENERAL EXPENSE")</f>
        <v xml:space="preserve">          6279 - GENERAL EXPENSE</v>
      </c>
      <c r="C60" s="11"/>
      <c r="D60" s="6">
        <v>189.5</v>
      </c>
      <c r="E60" s="2"/>
      <c r="F60" s="7">
        <f t="shared" si="24"/>
        <v>0</v>
      </c>
      <c r="G60" s="2"/>
      <c r="H60" s="6">
        <v>-150</v>
      </c>
      <c r="I60" s="2"/>
      <c r="J60" s="7">
        <f t="shared" si="25"/>
        <v>0</v>
      </c>
      <c r="K60" s="2"/>
      <c r="L60" s="6">
        <f t="shared" si="26"/>
        <v>339.5</v>
      </c>
      <c r="M60" s="2"/>
      <c r="N60" s="7">
        <f t="shared" si="27"/>
        <v>-2.2633333333333332</v>
      </c>
      <c r="O60" s="11"/>
      <c r="P60" s="6">
        <v>1773.68</v>
      </c>
      <c r="Q60" s="2"/>
      <c r="R60" s="7">
        <f t="shared" si="28"/>
        <v>0</v>
      </c>
      <c r="S60" s="2"/>
      <c r="T60" s="6">
        <v>-600</v>
      </c>
      <c r="U60" s="2"/>
      <c r="V60" s="7">
        <f t="shared" si="29"/>
        <v>0</v>
      </c>
      <c r="W60" s="2"/>
      <c r="X60" s="6">
        <f t="shared" si="30"/>
        <v>2373.6800000000003</v>
      </c>
      <c r="Y60" s="2"/>
      <c r="Z60" s="7">
        <f t="shared" si="31"/>
        <v>-3.9561333333333337</v>
      </c>
    </row>
    <row r="61" spans="1:26" s="28" customFormat="1" outlineLevel="1" collapsed="1" x14ac:dyDescent="0.3">
      <c r="A61" s="27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535.05999999999995</v>
      </c>
      <c r="E61" s="1"/>
      <c r="F61" s="5">
        <f t="shared" si="24"/>
        <v>0</v>
      </c>
      <c r="G61" s="1"/>
      <c r="H61" s="1">
        <f>SUM(OSRRefH22_11x_0)</f>
        <v>530</v>
      </c>
      <c r="I61" s="1"/>
      <c r="J61" s="5">
        <f t="shared" si="25"/>
        <v>0</v>
      </c>
      <c r="K61" s="1"/>
      <c r="L61" s="1">
        <f t="shared" si="26"/>
        <v>5.0599999999999454</v>
      </c>
      <c r="M61" s="1"/>
      <c r="N61" s="5">
        <f t="shared" si="27"/>
        <v>9.5471698113206525E-3</v>
      </c>
      <c r="O61" s="14"/>
      <c r="P61" s="1">
        <f>SUM(OSRRefP22_11x_0)</f>
        <v>3210.36</v>
      </c>
      <c r="Q61" s="1"/>
      <c r="R61" s="5">
        <f t="shared" si="28"/>
        <v>0</v>
      </c>
      <c r="S61" s="1"/>
      <c r="T61" s="1">
        <f>SUM(OSRRefT22_11x_0)</f>
        <v>3180</v>
      </c>
      <c r="U61" s="1"/>
      <c r="V61" s="5">
        <f t="shared" si="29"/>
        <v>0</v>
      </c>
      <c r="W61" s="1"/>
      <c r="X61" s="1">
        <f t="shared" si="30"/>
        <v>30.360000000000127</v>
      </c>
      <c r="Y61" s="1"/>
      <c r="Z61" s="5">
        <f t="shared" si="31"/>
        <v>9.5471698113207947E-3</v>
      </c>
    </row>
    <row r="62" spans="1:26" s="24" customFormat="1" hidden="1" outlineLevel="2" x14ac:dyDescent="0.3">
      <c r="A62" s="29"/>
      <c r="B62" s="11" t="str">
        <f>CONCATENATE("          ", "6314", " - ", "LIABILITY INSURANCE")</f>
        <v xml:space="preserve">          6314 - LIABILITY INSURANCE</v>
      </c>
      <c r="C62" s="11"/>
      <c r="D62" s="6">
        <v>535.05999999999995</v>
      </c>
      <c r="E62" s="2"/>
      <c r="F62" s="7">
        <f t="shared" si="24"/>
        <v>0</v>
      </c>
      <c r="G62" s="2"/>
      <c r="H62" s="6">
        <v>530</v>
      </c>
      <c r="I62" s="2"/>
      <c r="J62" s="7">
        <f t="shared" si="25"/>
        <v>0</v>
      </c>
      <c r="K62" s="2"/>
      <c r="L62" s="6">
        <f t="shared" si="26"/>
        <v>5.0599999999999454</v>
      </c>
      <c r="M62" s="2"/>
      <c r="N62" s="7">
        <f t="shared" si="27"/>
        <v>9.5471698113206525E-3</v>
      </c>
      <c r="O62" s="11"/>
      <c r="P62" s="6">
        <v>3210.36</v>
      </c>
      <c r="Q62" s="2"/>
      <c r="R62" s="7">
        <f t="shared" si="28"/>
        <v>0</v>
      </c>
      <c r="S62" s="2"/>
      <c r="T62" s="6">
        <v>3180</v>
      </c>
      <c r="U62" s="2"/>
      <c r="V62" s="7">
        <f t="shared" si="29"/>
        <v>0</v>
      </c>
      <c r="W62" s="2"/>
      <c r="X62" s="6">
        <f t="shared" si="30"/>
        <v>30.360000000000127</v>
      </c>
      <c r="Y62" s="2"/>
      <c r="Z62" s="7">
        <f t="shared" si="31"/>
        <v>9.5471698113207947E-3</v>
      </c>
    </row>
    <row r="63" spans="1:26" s="28" customFormat="1" outlineLevel="1" collapsed="1" x14ac:dyDescent="0.3">
      <c r="A63" s="27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SUM(OSRRefD22_12x_0)</f>
        <v>693.21</v>
      </c>
      <c r="E63" s="1"/>
      <c r="F63" s="5">
        <f t="shared" si="24"/>
        <v>0</v>
      </c>
      <c r="G63" s="1"/>
      <c r="H63" s="1">
        <f>SUM(OSRRefH22_12x_0)</f>
        <v>4666</v>
      </c>
      <c r="I63" s="1"/>
      <c r="J63" s="5">
        <f t="shared" si="25"/>
        <v>0</v>
      </c>
      <c r="K63" s="1"/>
      <c r="L63" s="1">
        <f t="shared" si="26"/>
        <v>-3972.79</v>
      </c>
      <c r="M63" s="1"/>
      <c r="N63" s="5">
        <f t="shared" si="27"/>
        <v>-0.8514337762537505</v>
      </c>
      <c r="O63" s="14"/>
      <c r="P63" s="1">
        <f>SUM(OSRRefP22_12x_0)</f>
        <v>83008.08</v>
      </c>
      <c r="Q63" s="1"/>
      <c r="R63" s="5">
        <f t="shared" si="28"/>
        <v>0</v>
      </c>
      <c r="S63" s="1"/>
      <c r="T63" s="1">
        <f>SUM(OSRRefT22_12x_0)</f>
        <v>100496</v>
      </c>
      <c r="U63" s="1"/>
      <c r="V63" s="5">
        <f t="shared" si="29"/>
        <v>0</v>
      </c>
      <c r="W63" s="1"/>
      <c r="X63" s="1">
        <f t="shared" si="30"/>
        <v>-17487.919999999998</v>
      </c>
      <c r="Y63" s="1"/>
      <c r="Z63" s="5">
        <f t="shared" si="31"/>
        <v>-0.17401608024199966</v>
      </c>
    </row>
    <row r="64" spans="1:26" s="24" customFormat="1" hidden="1" outlineLevel="2" x14ac:dyDescent="0.3">
      <c r="A64" s="29"/>
      <c r="B64" s="11" t="str">
        <f>CONCATENATE("          ", "6331", " - ", "INDIRECT COSTS-AUXILIARY ORGAN")</f>
        <v xml:space="preserve">          6331 - INDIRECT COSTS-AUXILIARY ORGAN</v>
      </c>
      <c r="C64" s="11"/>
      <c r="D64" s="6"/>
      <c r="E64" s="2"/>
      <c r="F64" s="7">
        <f t="shared" si="24"/>
        <v>0</v>
      </c>
      <c r="G64" s="2"/>
      <c r="H64" s="6">
        <v>3000</v>
      </c>
      <c r="I64" s="2"/>
      <c r="J64" s="7">
        <f t="shared" si="25"/>
        <v>0</v>
      </c>
      <c r="K64" s="2"/>
      <c r="L64" s="6">
        <f t="shared" si="26"/>
        <v>-3000</v>
      </c>
      <c r="M64" s="2"/>
      <c r="N64" s="7">
        <f t="shared" si="27"/>
        <v>-1</v>
      </c>
      <c r="O64" s="11"/>
      <c r="P64" s="6">
        <v>69175.5</v>
      </c>
      <c r="Q64" s="2"/>
      <c r="R64" s="7">
        <f t="shared" si="28"/>
        <v>0</v>
      </c>
      <c r="S64" s="2"/>
      <c r="T64" s="6">
        <v>75000</v>
      </c>
      <c r="U64" s="2"/>
      <c r="V64" s="7">
        <f t="shared" si="29"/>
        <v>0</v>
      </c>
      <c r="W64" s="2"/>
      <c r="X64" s="6">
        <f t="shared" si="30"/>
        <v>-5824.5</v>
      </c>
      <c r="Y64" s="2"/>
      <c r="Z64" s="7">
        <f t="shared" si="31"/>
        <v>-7.7660000000000007E-2</v>
      </c>
    </row>
    <row r="65" spans="1:26" s="24" customFormat="1" hidden="1" outlineLevel="2" x14ac:dyDescent="0.3">
      <c r="A65" s="29"/>
      <c r="B65" s="11" t="str">
        <f>CONCATENATE("          ", "6332", " - ", "CONSULTANT FEES")</f>
        <v xml:space="preserve">          6332 - CONSULTANT FEES</v>
      </c>
      <c r="C65" s="11"/>
      <c r="D65" s="6"/>
      <c r="E65" s="2"/>
      <c r="F65" s="7">
        <f t="shared" si="24"/>
        <v>0</v>
      </c>
      <c r="G65" s="2"/>
      <c r="H65" s="6">
        <v>0</v>
      </c>
      <c r="I65" s="2"/>
      <c r="J65" s="7">
        <f t="shared" si="25"/>
        <v>0</v>
      </c>
      <c r="K65" s="2"/>
      <c r="L65" s="6">
        <f t="shared" si="26"/>
        <v>0</v>
      </c>
      <c r="M65" s="2"/>
      <c r="N65" s="7">
        <f t="shared" si="27"/>
        <v>0</v>
      </c>
      <c r="O65" s="11"/>
      <c r="P65" s="6"/>
      <c r="Q65" s="2"/>
      <c r="R65" s="7">
        <f t="shared" si="28"/>
        <v>0</v>
      </c>
      <c r="S65" s="2"/>
      <c r="T65" s="6">
        <v>8000</v>
      </c>
      <c r="U65" s="2"/>
      <c r="V65" s="7">
        <f t="shared" si="29"/>
        <v>0</v>
      </c>
      <c r="W65" s="2"/>
      <c r="X65" s="6">
        <f t="shared" si="30"/>
        <v>-8000</v>
      </c>
      <c r="Y65" s="2"/>
      <c r="Z65" s="7">
        <f t="shared" si="31"/>
        <v>-1</v>
      </c>
    </row>
    <row r="66" spans="1:26" s="24" customFormat="1" hidden="1" outlineLevel="2" x14ac:dyDescent="0.3">
      <c r="A66" s="29"/>
      <c r="B66" s="11" t="str">
        <f>CONCATENATE("          ", "6334", " - ", "LEGAL COUNCIL EXPENSE")</f>
        <v xml:space="preserve">          6334 - LEGAL COUNCIL EXPENSE</v>
      </c>
      <c r="C66" s="11"/>
      <c r="D66" s="6"/>
      <c r="E66" s="2"/>
      <c r="F66" s="7">
        <f t="shared" si="24"/>
        <v>0</v>
      </c>
      <c r="G66" s="2"/>
      <c r="H66" s="6">
        <v>833</v>
      </c>
      <c r="I66" s="2"/>
      <c r="J66" s="7">
        <f t="shared" si="25"/>
        <v>0</v>
      </c>
      <c r="K66" s="2"/>
      <c r="L66" s="6">
        <f t="shared" si="26"/>
        <v>-833</v>
      </c>
      <c r="M66" s="2"/>
      <c r="N66" s="7">
        <f t="shared" si="27"/>
        <v>-1</v>
      </c>
      <c r="O66" s="11"/>
      <c r="P66" s="6">
        <v>3455</v>
      </c>
      <c r="Q66" s="2"/>
      <c r="R66" s="7">
        <f t="shared" si="28"/>
        <v>0</v>
      </c>
      <c r="S66" s="2"/>
      <c r="T66" s="6">
        <v>7498</v>
      </c>
      <c r="U66" s="2"/>
      <c r="V66" s="7">
        <f t="shared" si="29"/>
        <v>0</v>
      </c>
      <c r="W66" s="2"/>
      <c r="X66" s="6">
        <f t="shared" si="30"/>
        <v>-4043</v>
      </c>
      <c r="Y66" s="2"/>
      <c r="Z66" s="7">
        <f t="shared" si="31"/>
        <v>-0.53921045612163243</v>
      </c>
    </row>
    <row r="67" spans="1:26" s="24" customFormat="1" hidden="1" outlineLevel="2" x14ac:dyDescent="0.3">
      <c r="A67" s="29"/>
      <c r="B67" s="11" t="str">
        <f>CONCATENATE("          ", "6336", " - ", "PROFESSIONAL SERVICES")</f>
        <v xml:space="preserve">          6336 - PROFESSIONAL SERVICES</v>
      </c>
      <c r="C67" s="11"/>
      <c r="D67" s="6">
        <v>693.21</v>
      </c>
      <c r="E67" s="2"/>
      <c r="F67" s="7">
        <f t="shared" si="24"/>
        <v>0</v>
      </c>
      <c r="G67" s="2"/>
      <c r="H67" s="6">
        <v>833</v>
      </c>
      <c r="I67" s="2"/>
      <c r="J67" s="7">
        <f t="shared" si="25"/>
        <v>0</v>
      </c>
      <c r="K67" s="2"/>
      <c r="L67" s="6">
        <f t="shared" si="26"/>
        <v>-139.78999999999996</v>
      </c>
      <c r="M67" s="2"/>
      <c r="N67" s="7">
        <f t="shared" si="27"/>
        <v>-0.16781512605042012</v>
      </c>
      <c r="O67" s="11"/>
      <c r="P67" s="6">
        <v>10377.58</v>
      </c>
      <c r="Q67" s="2"/>
      <c r="R67" s="7">
        <f t="shared" si="28"/>
        <v>0</v>
      </c>
      <c r="S67" s="2"/>
      <c r="T67" s="6">
        <v>9998</v>
      </c>
      <c r="U67" s="2"/>
      <c r="V67" s="7">
        <f t="shared" si="29"/>
        <v>0</v>
      </c>
      <c r="W67" s="2"/>
      <c r="X67" s="6">
        <f t="shared" si="30"/>
        <v>379.57999999999993</v>
      </c>
      <c r="Y67" s="2"/>
      <c r="Z67" s="7">
        <f t="shared" si="31"/>
        <v>3.7965593118623721E-2</v>
      </c>
    </row>
    <row r="68" spans="1:26" s="28" customFormat="1" outlineLevel="1" collapsed="1" x14ac:dyDescent="0.3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SUM(OSRRefD22_13x_0)</f>
        <v>22454.78</v>
      </c>
      <c r="E68" s="1"/>
      <c r="F68" s="5">
        <f t="shared" ref="F68:F72" si="32">IF(D$12=0,0,D68/D$12)</f>
        <v>0</v>
      </c>
      <c r="G68" s="1"/>
      <c r="H68" s="1">
        <f>SUM(OSRRefH22_13x_0)</f>
        <v>22307</v>
      </c>
      <c r="I68" s="1"/>
      <c r="J68" s="5">
        <f t="shared" ref="J68:J72" si="33">IF(H$12=0,0,H68/H$12)</f>
        <v>0</v>
      </c>
      <c r="K68" s="1"/>
      <c r="L68" s="1">
        <f t="shared" ref="L68:L72" si="34">+D68-H68</f>
        <v>147.77999999999884</v>
      </c>
      <c r="M68" s="1"/>
      <c r="N68" s="5">
        <f t="shared" ref="N68:N72" si="35">IF(H68=0,0,L68/H68)</f>
        <v>6.6248262877123248E-3</v>
      </c>
      <c r="O68" s="14"/>
      <c r="P68" s="1">
        <f>SUM(OSRRefP22_13x_0)</f>
        <v>113879.94</v>
      </c>
      <c r="Q68" s="1"/>
      <c r="R68" s="5">
        <f t="shared" ref="R68:R72" si="36">IF(P$12=0,0,P68/P$12)</f>
        <v>0</v>
      </c>
      <c r="S68" s="1"/>
      <c r="T68" s="1">
        <f>SUM(OSRRefT22_13x_0)</f>
        <v>135442</v>
      </c>
      <c r="U68" s="1"/>
      <c r="V68" s="5">
        <f t="shared" ref="V68:V72" si="37">IF(T$12=0,0,T68/T$12)</f>
        <v>0</v>
      </c>
      <c r="W68" s="1"/>
      <c r="X68" s="1">
        <f t="shared" ref="X68:X72" si="38">+P68-T68</f>
        <v>-21562.059999999998</v>
      </c>
      <c r="Y68" s="1"/>
      <c r="Z68" s="5">
        <f t="shared" ref="Z68:Z72" si="39">IF(T68=0,0,X68/T68)</f>
        <v>-0.15919773777705584</v>
      </c>
    </row>
    <row r="69" spans="1:26" s="24" customFormat="1" hidden="1" outlineLevel="2" x14ac:dyDescent="0.3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6">
        <v>8214.92</v>
      </c>
      <c r="E69" s="2"/>
      <c r="F69" s="7">
        <f t="shared" si="32"/>
        <v>0</v>
      </c>
      <c r="G69" s="2"/>
      <c r="H69" s="6">
        <v>9600</v>
      </c>
      <c r="I69" s="2"/>
      <c r="J69" s="7">
        <f t="shared" si="33"/>
        <v>0</v>
      </c>
      <c r="K69" s="2"/>
      <c r="L69" s="6">
        <f t="shared" si="34"/>
        <v>-1385.08</v>
      </c>
      <c r="M69" s="2"/>
      <c r="N69" s="7">
        <f t="shared" si="35"/>
        <v>-0.14427916666666665</v>
      </c>
      <c r="O69" s="11"/>
      <c r="P69" s="6">
        <v>36402.33</v>
      </c>
      <c r="Q69" s="2"/>
      <c r="R69" s="7">
        <f t="shared" si="36"/>
        <v>0</v>
      </c>
      <c r="S69" s="2"/>
      <c r="T69" s="6">
        <v>57600</v>
      </c>
      <c r="U69" s="2"/>
      <c r="V69" s="7">
        <f t="shared" si="37"/>
        <v>0</v>
      </c>
      <c r="W69" s="2"/>
      <c r="X69" s="6">
        <f t="shared" si="38"/>
        <v>-21197.67</v>
      </c>
      <c r="Y69" s="2"/>
      <c r="Z69" s="7">
        <f t="shared" si="39"/>
        <v>-0.36801510416666666</v>
      </c>
    </row>
    <row r="70" spans="1:26" s="24" customFormat="1" hidden="1" outlineLevel="2" x14ac:dyDescent="0.3">
      <c r="A70" s="29"/>
      <c r="B70" s="11" t="str">
        <f>CONCATENATE("          ", "6372", " - ", "COMPUTER HARDWARE MAINTENANCE")</f>
        <v xml:space="preserve">          6372 - COMPUTER HARDWARE MAINTENANCE</v>
      </c>
      <c r="C70" s="11"/>
      <c r="D70" s="6">
        <v>3752.4</v>
      </c>
      <c r="E70" s="2"/>
      <c r="F70" s="7">
        <f t="shared" si="32"/>
        <v>0</v>
      </c>
      <c r="G70" s="2"/>
      <c r="H70" s="6">
        <v>0</v>
      </c>
      <c r="I70" s="2"/>
      <c r="J70" s="7">
        <f t="shared" si="33"/>
        <v>0</v>
      </c>
      <c r="K70" s="2"/>
      <c r="L70" s="6">
        <f t="shared" si="34"/>
        <v>3752.4</v>
      </c>
      <c r="M70" s="2"/>
      <c r="N70" s="7">
        <f t="shared" si="35"/>
        <v>0</v>
      </c>
      <c r="O70" s="11"/>
      <c r="P70" s="6">
        <v>4760.47</v>
      </c>
      <c r="Q70" s="2"/>
      <c r="R70" s="7">
        <f t="shared" si="36"/>
        <v>0</v>
      </c>
      <c r="S70" s="2"/>
      <c r="T70" s="6">
        <v>3000</v>
      </c>
      <c r="U70" s="2"/>
      <c r="V70" s="7">
        <f t="shared" si="37"/>
        <v>0</v>
      </c>
      <c r="W70" s="2"/>
      <c r="X70" s="6">
        <f t="shared" si="38"/>
        <v>1760.4700000000003</v>
      </c>
      <c r="Y70" s="2"/>
      <c r="Z70" s="7">
        <f t="shared" si="39"/>
        <v>0.58682333333333336</v>
      </c>
    </row>
    <row r="71" spans="1:26" s="24" customFormat="1" hidden="1" outlineLevel="2" x14ac:dyDescent="0.3">
      <c r="A71" s="29"/>
      <c r="B71" s="11" t="str">
        <f>CONCATENATE("          ", "6373", " - ", "MAINTENANCE CONTRACTS")</f>
        <v xml:space="preserve">          6373 - MAINTENANCE CONTRACTS</v>
      </c>
      <c r="C71" s="11"/>
      <c r="D71" s="6">
        <v>10487.46</v>
      </c>
      <c r="E71" s="2"/>
      <c r="F71" s="7">
        <f t="shared" si="32"/>
        <v>0</v>
      </c>
      <c r="G71" s="2"/>
      <c r="H71" s="6">
        <v>12557</v>
      </c>
      <c r="I71" s="2"/>
      <c r="J71" s="7">
        <f t="shared" si="33"/>
        <v>0</v>
      </c>
      <c r="K71" s="2"/>
      <c r="L71" s="6">
        <f t="shared" si="34"/>
        <v>-2069.5400000000009</v>
      </c>
      <c r="M71" s="2"/>
      <c r="N71" s="7">
        <f t="shared" si="35"/>
        <v>-0.16481165883570922</v>
      </c>
      <c r="O71" s="11"/>
      <c r="P71" s="6">
        <v>70877.87</v>
      </c>
      <c r="Q71" s="2"/>
      <c r="R71" s="7">
        <f t="shared" si="36"/>
        <v>0</v>
      </c>
      <c r="S71" s="2"/>
      <c r="T71" s="6">
        <v>73942</v>
      </c>
      <c r="U71" s="2"/>
      <c r="V71" s="7">
        <f t="shared" si="37"/>
        <v>0</v>
      </c>
      <c r="W71" s="2"/>
      <c r="X71" s="6">
        <f t="shared" si="38"/>
        <v>-3064.1300000000047</v>
      </c>
      <c r="Y71" s="2"/>
      <c r="Z71" s="7">
        <f t="shared" si="39"/>
        <v>-4.1439641881474733E-2</v>
      </c>
    </row>
    <row r="72" spans="1:26" s="24" customFormat="1" hidden="1" outlineLevel="2" x14ac:dyDescent="0.3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6"/>
      <c r="E72" s="2"/>
      <c r="F72" s="7">
        <f t="shared" si="32"/>
        <v>0</v>
      </c>
      <c r="G72" s="2"/>
      <c r="H72" s="6">
        <v>150</v>
      </c>
      <c r="I72" s="2"/>
      <c r="J72" s="7">
        <f t="shared" si="33"/>
        <v>0</v>
      </c>
      <c r="K72" s="2"/>
      <c r="L72" s="6">
        <f t="shared" si="34"/>
        <v>-150</v>
      </c>
      <c r="M72" s="2"/>
      <c r="N72" s="7">
        <f t="shared" si="35"/>
        <v>-1</v>
      </c>
      <c r="O72" s="11"/>
      <c r="P72" s="6">
        <v>1839.27</v>
      </c>
      <c r="Q72" s="2"/>
      <c r="R72" s="7">
        <f t="shared" si="36"/>
        <v>0</v>
      </c>
      <c r="S72" s="2"/>
      <c r="T72" s="6">
        <v>900</v>
      </c>
      <c r="U72" s="2"/>
      <c r="V72" s="7">
        <f t="shared" si="37"/>
        <v>0</v>
      </c>
      <c r="W72" s="2"/>
      <c r="X72" s="6">
        <f t="shared" si="38"/>
        <v>939.27</v>
      </c>
      <c r="Y72" s="2"/>
      <c r="Z72" s="7">
        <f t="shared" si="39"/>
        <v>1.0436333333333334</v>
      </c>
    </row>
    <row r="73" spans="1:26" s="28" customFormat="1" outlineLevel="1" collapsed="1" x14ac:dyDescent="0.3">
      <c r="A73" s="27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SUM(OSRRefD22_14x_0)</f>
        <v>657.38</v>
      </c>
      <c r="E73" s="1"/>
      <c r="F73" s="5">
        <f t="shared" ref="F73:F75" si="40">IF(D$12=0,0,D73/D$12)</f>
        <v>0</v>
      </c>
      <c r="G73" s="1"/>
      <c r="H73" s="1">
        <f>SUM(OSRRefH22_14x_0)</f>
        <v>650</v>
      </c>
      <c r="I73" s="1"/>
      <c r="J73" s="5">
        <f t="shared" ref="J73:J75" si="41">IF(H$12=0,0,H73/H$12)</f>
        <v>0</v>
      </c>
      <c r="K73" s="1"/>
      <c r="L73" s="1">
        <f t="shared" ref="L73:L75" si="42">+D73-H73</f>
        <v>7.3799999999999955</v>
      </c>
      <c r="M73" s="1"/>
      <c r="N73" s="5">
        <f t="shared" ref="N73:N75" si="43">IF(H73=0,0,L73/H73)</f>
        <v>1.1353846153846147E-2</v>
      </c>
      <c r="O73" s="14"/>
      <c r="P73" s="1">
        <f>SUM(OSRRefP22_14x_0)</f>
        <v>3997.41</v>
      </c>
      <c r="Q73" s="1"/>
      <c r="R73" s="5">
        <f t="shared" ref="R73:R75" si="44">IF(P$12=0,0,P73/P$12)</f>
        <v>0</v>
      </c>
      <c r="S73" s="1"/>
      <c r="T73" s="1">
        <f>SUM(OSRRefT22_14x_0)</f>
        <v>3900</v>
      </c>
      <c r="U73" s="1"/>
      <c r="V73" s="5">
        <f t="shared" ref="V73:V75" si="45">IF(T$12=0,0,T73/T$12)</f>
        <v>0</v>
      </c>
      <c r="W73" s="1"/>
      <c r="X73" s="1">
        <f t="shared" ref="X73:X75" si="46">+P73-T73</f>
        <v>97.409999999999854</v>
      </c>
      <c r="Y73" s="1"/>
      <c r="Z73" s="5">
        <f t="shared" ref="Z73:Z75" si="47">IF(T73=0,0,X73/T73)</f>
        <v>2.4976923076923039E-2</v>
      </c>
    </row>
    <row r="74" spans="1:26" s="24" customFormat="1" hidden="1" outlineLevel="2" x14ac:dyDescent="0.3">
      <c r="A74" s="29"/>
      <c r="B74" s="11" t="str">
        <f>CONCATENATE("          ", "6281", " - ", "STORAGE FEE")</f>
        <v xml:space="preserve">          6281 - STORAGE FEE</v>
      </c>
      <c r="C74" s="11"/>
      <c r="D74" s="6">
        <v>657.38</v>
      </c>
      <c r="E74" s="2"/>
      <c r="F74" s="7">
        <f t="shared" si="40"/>
        <v>0</v>
      </c>
      <c r="G74" s="2"/>
      <c r="H74" s="6">
        <v>625</v>
      </c>
      <c r="I74" s="2"/>
      <c r="J74" s="7">
        <f t="shared" si="41"/>
        <v>0</v>
      </c>
      <c r="K74" s="2"/>
      <c r="L74" s="6">
        <f t="shared" si="42"/>
        <v>32.379999999999995</v>
      </c>
      <c r="M74" s="2"/>
      <c r="N74" s="7">
        <f t="shared" si="43"/>
        <v>5.1807999999999993E-2</v>
      </c>
      <c r="O74" s="11"/>
      <c r="P74" s="6">
        <v>3997.41</v>
      </c>
      <c r="Q74" s="2"/>
      <c r="R74" s="7">
        <f t="shared" si="44"/>
        <v>0</v>
      </c>
      <c r="S74" s="2"/>
      <c r="T74" s="6">
        <v>3750</v>
      </c>
      <c r="U74" s="2"/>
      <c r="V74" s="7">
        <f t="shared" si="45"/>
        <v>0</v>
      </c>
      <c r="W74" s="2"/>
      <c r="X74" s="6">
        <f t="shared" si="46"/>
        <v>247.40999999999985</v>
      </c>
      <c r="Y74" s="2"/>
      <c r="Z74" s="7">
        <f t="shared" si="47"/>
        <v>6.5975999999999965E-2</v>
      </c>
    </row>
    <row r="75" spans="1:26" s="24" customFormat="1" hidden="1" outlineLevel="2" x14ac:dyDescent="0.3">
      <c r="A75" s="29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40"/>
        <v>0</v>
      </c>
      <c r="G75" s="2"/>
      <c r="H75" s="6">
        <v>25</v>
      </c>
      <c r="I75" s="2"/>
      <c r="J75" s="7">
        <f t="shared" si="41"/>
        <v>0</v>
      </c>
      <c r="K75" s="2"/>
      <c r="L75" s="6">
        <f t="shared" si="42"/>
        <v>-25</v>
      </c>
      <c r="M75" s="2"/>
      <c r="N75" s="7">
        <f t="shared" si="43"/>
        <v>-1</v>
      </c>
      <c r="O75" s="11"/>
      <c r="P75" s="6"/>
      <c r="Q75" s="2"/>
      <c r="R75" s="7">
        <f t="shared" si="44"/>
        <v>0</v>
      </c>
      <c r="S75" s="2"/>
      <c r="T75" s="6">
        <v>150</v>
      </c>
      <c r="U75" s="2"/>
      <c r="V75" s="7">
        <f t="shared" si="45"/>
        <v>0</v>
      </c>
      <c r="W75" s="2"/>
      <c r="X75" s="6">
        <f t="shared" si="46"/>
        <v>-150</v>
      </c>
      <c r="Y75" s="2"/>
      <c r="Z75" s="7">
        <f t="shared" si="47"/>
        <v>-1</v>
      </c>
    </row>
    <row r="76" spans="1:26" s="28" customFormat="1" outlineLevel="1" collapsed="1" x14ac:dyDescent="0.3">
      <c r="A76" s="27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SUM(OSRRefD22_15x_0)</f>
        <v>795</v>
      </c>
      <c r="E76" s="1"/>
      <c r="F76" s="5">
        <f t="shared" ref="F76:F78" si="48">IF(D$12=0,0,D76/D$12)</f>
        <v>0</v>
      </c>
      <c r="G76" s="1"/>
      <c r="H76" s="1">
        <f>SUM(OSRRefH22_15x_0)</f>
        <v>600</v>
      </c>
      <c r="I76" s="1"/>
      <c r="J76" s="5">
        <f t="shared" ref="J76:J78" si="49">IF(H$12=0,0,H76/H$12)</f>
        <v>0</v>
      </c>
      <c r="K76" s="1"/>
      <c r="L76" s="1">
        <f t="shared" ref="L76:L78" si="50">+D76-H76</f>
        <v>195</v>
      </c>
      <c r="M76" s="1"/>
      <c r="N76" s="5">
        <f t="shared" ref="N76:N78" si="51">IF(H76=0,0,L76/H76)</f>
        <v>0.32500000000000001</v>
      </c>
      <c r="O76" s="14"/>
      <c r="P76" s="1">
        <f>SUM(OSRRefP22_15x_0)</f>
        <v>2452</v>
      </c>
      <c r="Q76" s="1"/>
      <c r="R76" s="5">
        <f t="shared" ref="R76:R78" si="52">IF(P$12=0,0,P76/P$12)</f>
        <v>0</v>
      </c>
      <c r="S76" s="1"/>
      <c r="T76" s="1">
        <f>SUM(OSRRefT22_15x_0)</f>
        <v>3575</v>
      </c>
      <c r="U76" s="1"/>
      <c r="V76" s="5">
        <f t="shared" ref="V76:V78" si="53">IF(T$12=0,0,T76/T$12)</f>
        <v>0</v>
      </c>
      <c r="W76" s="1"/>
      <c r="X76" s="1">
        <f t="shared" ref="X76:X78" si="54">+P76-T76</f>
        <v>-1123</v>
      </c>
      <c r="Y76" s="1"/>
      <c r="Z76" s="5">
        <f t="shared" ref="Z76:Z78" si="55">IF(T76=0,0,X76/T76)</f>
        <v>-0.31412587412587412</v>
      </c>
    </row>
    <row r="77" spans="1:26" s="24" customFormat="1" hidden="1" outlineLevel="2" x14ac:dyDescent="0.3">
      <c r="A77" s="29"/>
      <c r="B77" s="11" t="str">
        <f>CONCATENATE("          ", "6258", " - ", "MEMBERSHIP DUES")</f>
        <v xml:space="preserve">          6258 - MEMBERSHIP DUES</v>
      </c>
      <c r="C77" s="11"/>
      <c r="D77" s="6">
        <v>795</v>
      </c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795</v>
      </c>
      <c r="M77" s="2"/>
      <c r="N77" s="7">
        <f t="shared" si="51"/>
        <v>0</v>
      </c>
      <c r="O77" s="11"/>
      <c r="P77" s="6">
        <v>2452</v>
      </c>
      <c r="Q77" s="2"/>
      <c r="R77" s="7">
        <f t="shared" si="52"/>
        <v>0</v>
      </c>
      <c r="S77" s="2"/>
      <c r="T77" s="6">
        <v>2975</v>
      </c>
      <c r="U77" s="2"/>
      <c r="V77" s="7">
        <f t="shared" si="53"/>
        <v>0</v>
      </c>
      <c r="W77" s="2"/>
      <c r="X77" s="6">
        <f t="shared" si="54"/>
        <v>-523</v>
      </c>
      <c r="Y77" s="2"/>
      <c r="Z77" s="7">
        <f t="shared" si="55"/>
        <v>-0.1757983193277311</v>
      </c>
    </row>
    <row r="78" spans="1:26" s="24" customFormat="1" hidden="1" outlineLevel="2" x14ac:dyDescent="0.3">
      <c r="A78" s="29"/>
      <c r="B78" s="11" t="str">
        <f>CONCATENATE("          ", "6275", " - ", "SUBSCRIPTIONS")</f>
        <v xml:space="preserve">          6275 - SUBSCRIPTIONS</v>
      </c>
      <c r="C78" s="11"/>
      <c r="D78" s="6"/>
      <c r="E78" s="2"/>
      <c r="F78" s="7">
        <f t="shared" si="48"/>
        <v>0</v>
      </c>
      <c r="G78" s="2"/>
      <c r="H78" s="6">
        <v>600</v>
      </c>
      <c r="I78" s="2"/>
      <c r="J78" s="7">
        <f t="shared" si="49"/>
        <v>0</v>
      </c>
      <c r="K78" s="2"/>
      <c r="L78" s="6">
        <f t="shared" si="50"/>
        <v>-600</v>
      </c>
      <c r="M78" s="2"/>
      <c r="N78" s="7">
        <f t="shared" si="51"/>
        <v>-1</v>
      </c>
      <c r="O78" s="11"/>
      <c r="P78" s="6"/>
      <c r="Q78" s="2"/>
      <c r="R78" s="7">
        <f t="shared" si="52"/>
        <v>0</v>
      </c>
      <c r="S78" s="2"/>
      <c r="T78" s="6">
        <v>600</v>
      </c>
      <c r="U78" s="2"/>
      <c r="V78" s="7">
        <f t="shared" si="53"/>
        <v>0</v>
      </c>
      <c r="W78" s="2"/>
      <c r="X78" s="6">
        <f t="shared" si="54"/>
        <v>-600</v>
      </c>
      <c r="Y78" s="2"/>
      <c r="Z78" s="7">
        <f t="shared" si="55"/>
        <v>-1</v>
      </c>
    </row>
    <row r="79" spans="1:26" s="28" customFormat="1" outlineLevel="1" collapsed="1" x14ac:dyDescent="0.3">
      <c r="A79" s="27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SUM(OSRRefD22_16x_0)</f>
        <v>896.77</v>
      </c>
      <c r="E79" s="1"/>
      <c r="F79" s="5">
        <f t="shared" ref="F79:F85" si="56">IF(D$12=0,0,D79/D$12)</f>
        <v>0</v>
      </c>
      <c r="G79" s="1"/>
      <c r="H79" s="1">
        <f>SUM(OSRRefH22_16x_0)</f>
        <v>2784</v>
      </c>
      <c r="I79" s="1"/>
      <c r="J79" s="5">
        <f t="shared" ref="J79:J85" si="57">IF(H$12=0,0,H79/H$12)</f>
        <v>0</v>
      </c>
      <c r="K79" s="1"/>
      <c r="L79" s="1">
        <f t="shared" ref="L79:L85" si="58">+D79-H79</f>
        <v>-1887.23</v>
      </c>
      <c r="M79" s="1"/>
      <c r="N79" s="5">
        <f t="shared" ref="N79:N85" si="59">IF(H79=0,0,L79/H79)</f>
        <v>-0.67788433908045975</v>
      </c>
      <c r="O79" s="14"/>
      <c r="P79" s="1">
        <f>SUM(OSRRefP22_16x_0)</f>
        <v>11406.460000000001</v>
      </c>
      <c r="Q79" s="1"/>
      <c r="R79" s="5">
        <f t="shared" ref="R79:R85" si="60">IF(P$12=0,0,P79/P$12)</f>
        <v>0</v>
      </c>
      <c r="S79" s="1"/>
      <c r="T79" s="1">
        <f>SUM(OSRRefT22_16x_0)</f>
        <v>21704</v>
      </c>
      <c r="U79" s="1"/>
      <c r="V79" s="5">
        <f t="shared" ref="V79:V85" si="61">IF(T$12=0,0,T79/T$12)</f>
        <v>0</v>
      </c>
      <c r="W79" s="1"/>
      <c r="X79" s="1">
        <f t="shared" ref="X79:X85" si="62">+P79-T79</f>
        <v>-10297.539999999999</v>
      </c>
      <c r="Y79" s="1"/>
      <c r="Z79" s="5">
        <f t="shared" ref="Z79:Z85" si="63">IF(T79=0,0,X79/T79)</f>
        <v>-0.47445355694802799</v>
      </c>
    </row>
    <row r="80" spans="1:26" s="24" customFormat="1" hidden="1" outlineLevel="2" x14ac:dyDescent="0.3">
      <c r="A80" s="29"/>
      <c r="B80" s="11" t="str">
        <f>CONCATENATE("          ", "6234", " - ", "EXPENDABLE SUPPLIES &amp; EQUIPMEN")</f>
        <v xml:space="preserve">          6234 - EXPENDABLE SUPPLIES &amp; EQUIPMEN</v>
      </c>
      <c r="C80" s="11"/>
      <c r="D80" s="6"/>
      <c r="E80" s="2"/>
      <c r="F80" s="7">
        <f t="shared" si="56"/>
        <v>0</v>
      </c>
      <c r="G80" s="2"/>
      <c r="H80" s="6">
        <v>125</v>
      </c>
      <c r="I80" s="2"/>
      <c r="J80" s="7">
        <f t="shared" si="57"/>
        <v>0</v>
      </c>
      <c r="K80" s="2"/>
      <c r="L80" s="6">
        <f t="shared" si="58"/>
        <v>-125</v>
      </c>
      <c r="M80" s="2"/>
      <c r="N80" s="7">
        <f t="shared" si="59"/>
        <v>-1</v>
      </c>
      <c r="O80" s="11"/>
      <c r="P80" s="6">
        <v>26.1</v>
      </c>
      <c r="Q80" s="2"/>
      <c r="R80" s="7">
        <f t="shared" si="60"/>
        <v>0</v>
      </c>
      <c r="S80" s="2"/>
      <c r="T80" s="6">
        <v>750</v>
      </c>
      <c r="U80" s="2"/>
      <c r="V80" s="7">
        <f t="shared" si="61"/>
        <v>0</v>
      </c>
      <c r="W80" s="2"/>
      <c r="X80" s="6">
        <f t="shared" si="62"/>
        <v>-723.9</v>
      </c>
      <c r="Y80" s="2"/>
      <c r="Z80" s="7">
        <f t="shared" si="63"/>
        <v>-0.96519999999999995</v>
      </c>
    </row>
    <row r="81" spans="1:26" s="24" customFormat="1" hidden="1" outlineLevel="2" x14ac:dyDescent="0.3">
      <c r="A81" s="29"/>
      <c r="B81" s="11" t="str">
        <f>CONCATENATE("          ", "6235", " - ", "COVID-19 EXPENSES")</f>
        <v xml:space="preserve">          6235 - COVID-19 EXPENSES</v>
      </c>
      <c r="C81" s="11"/>
      <c r="D81" s="6"/>
      <c r="E81" s="2"/>
      <c r="F81" s="7">
        <f t="shared" si="56"/>
        <v>0</v>
      </c>
      <c r="G81" s="2"/>
      <c r="H81" s="6"/>
      <c r="I81" s="2"/>
      <c r="J81" s="7">
        <f t="shared" si="57"/>
        <v>0</v>
      </c>
      <c r="K81" s="2"/>
      <c r="L81" s="6">
        <f t="shared" si="58"/>
        <v>0</v>
      </c>
      <c r="M81" s="2"/>
      <c r="N81" s="7">
        <f t="shared" si="59"/>
        <v>0</v>
      </c>
      <c r="O81" s="11"/>
      <c r="P81" s="6">
        <v>2447.77</v>
      </c>
      <c r="Q81" s="2"/>
      <c r="R81" s="7">
        <f t="shared" si="60"/>
        <v>0</v>
      </c>
      <c r="S81" s="2"/>
      <c r="T81" s="6"/>
      <c r="U81" s="2"/>
      <c r="V81" s="7">
        <f t="shared" si="61"/>
        <v>0</v>
      </c>
      <c r="W81" s="2"/>
      <c r="X81" s="6">
        <f t="shared" si="62"/>
        <v>2447.77</v>
      </c>
      <c r="Y81" s="2"/>
      <c r="Z81" s="7">
        <f t="shared" si="63"/>
        <v>0</v>
      </c>
    </row>
    <row r="82" spans="1:26" s="24" customFormat="1" hidden="1" outlineLevel="2" x14ac:dyDescent="0.3">
      <c r="A82" s="29"/>
      <c r="B82" s="11" t="str">
        <f>CONCATENATE("          ", "6241", " - ", "OFFICE EXPENSE")</f>
        <v xml:space="preserve">          6241 - OFFICE EXPENSE</v>
      </c>
      <c r="C82" s="11"/>
      <c r="D82" s="6">
        <v>896.77</v>
      </c>
      <c r="E82" s="2"/>
      <c r="F82" s="7">
        <f t="shared" si="56"/>
        <v>0</v>
      </c>
      <c r="G82" s="2"/>
      <c r="H82" s="6">
        <v>2242</v>
      </c>
      <c r="I82" s="2"/>
      <c r="J82" s="7">
        <f t="shared" si="57"/>
        <v>0</v>
      </c>
      <c r="K82" s="2"/>
      <c r="L82" s="6">
        <f t="shared" si="58"/>
        <v>-1345.23</v>
      </c>
      <c r="M82" s="2"/>
      <c r="N82" s="7">
        <f t="shared" si="59"/>
        <v>-0.60001338090990186</v>
      </c>
      <c r="O82" s="11"/>
      <c r="P82" s="6">
        <v>5547.9</v>
      </c>
      <c r="Q82" s="2"/>
      <c r="R82" s="7">
        <f t="shared" si="60"/>
        <v>0</v>
      </c>
      <c r="S82" s="2"/>
      <c r="T82" s="6">
        <v>13452</v>
      </c>
      <c r="U82" s="2"/>
      <c r="V82" s="7">
        <f t="shared" si="61"/>
        <v>0</v>
      </c>
      <c r="W82" s="2"/>
      <c r="X82" s="6">
        <f t="shared" si="62"/>
        <v>-7904.1</v>
      </c>
      <c r="Y82" s="2"/>
      <c r="Z82" s="7">
        <f t="shared" si="63"/>
        <v>-0.58757805530776097</v>
      </c>
    </row>
    <row r="83" spans="1:26" s="24" customFormat="1" hidden="1" outlineLevel="2" x14ac:dyDescent="0.3">
      <c r="A83" s="29"/>
      <c r="B83" s="11" t="str">
        <f>CONCATENATE("          ", "6244", " - ", "SAFETY SUPPLY EXPENSE")</f>
        <v xml:space="preserve">          6244 - SAFETY SUPPLY EXPENSE</v>
      </c>
      <c r="C83" s="11"/>
      <c r="D83" s="6"/>
      <c r="E83" s="2"/>
      <c r="F83" s="7">
        <f t="shared" si="56"/>
        <v>0</v>
      </c>
      <c r="G83" s="2"/>
      <c r="H83" s="6">
        <v>417</v>
      </c>
      <c r="I83" s="2"/>
      <c r="J83" s="7">
        <f t="shared" si="57"/>
        <v>0</v>
      </c>
      <c r="K83" s="2"/>
      <c r="L83" s="6">
        <f t="shared" si="58"/>
        <v>-417</v>
      </c>
      <c r="M83" s="2"/>
      <c r="N83" s="7">
        <f t="shared" si="59"/>
        <v>-1</v>
      </c>
      <c r="O83" s="11"/>
      <c r="P83" s="6">
        <v>600</v>
      </c>
      <c r="Q83" s="2"/>
      <c r="R83" s="7">
        <f t="shared" si="60"/>
        <v>0</v>
      </c>
      <c r="S83" s="2"/>
      <c r="T83" s="6">
        <v>2502</v>
      </c>
      <c r="U83" s="2"/>
      <c r="V83" s="7">
        <f t="shared" si="61"/>
        <v>0</v>
      </c>
      <c r="W83" s="2"/>
      <c r="X83" s="6">
        <f t="shared" si="62"/>
        <v>-1902</v>
      </c>
      <c r="Y83" s="2"/>
      <c r="Z83" s="7">
        <f t="shared" si="63"/>
        <v>-0.76019184652278182</v>
      </c>
    </row>
    <row r="84" spans="1:26" s="24" customFormat="1" hidden="1" outlineLevel="2" x14ac:dyDescent="0.3">
      <c r="A84" s="29"/>
      <c r="B84" s="11" t="str">
        <f>CONCATENATE("          ", "6247", " - ", "STORE SUPPLIES")</f>
        <v xml:space="preserve">          6247 - STORE SUPPLIES</v>
      </c>
      <c r="C84" s="11"/>
      <c r="D84" s="6"/>
      <c r="E84" s="2"/>
      <c r="F84" s="7">
        <f t="shared" si="56"/>
        <v>0</v>
      </c>
      <c r="G84" s="2"/>
      <c r="H84" s="6"/>
      <c r="I84" s="2"/>
      <c r="J84" s="7">
        <f t="shared" si="57"/>
        <v>0</v>
      </c>
      <c r="K84" s="2"/>
      <c r="L84" s="6">
        <f t="shared" si="58"/>
        <v>0</v>
      </c>
      <c r="M84" s="2"/>
      <c r="N84" s="7">
        <f t="shared" si="59"/>
        <v>0</v>
      </c>
      <c r="O84" s="11"/>
      <c r="P84" s="6"/>
      <c r="Q84" s="2"/>
      <c r="R84" s="7">
        <f t="shared" si="60"/>
        <v>0</v>
      </c>
      <c r="S84" s="2"/>
      <c r="T84" s="6">
        <v>5000</v>
      </c>
      <c r="U84" s="2"/>
      <c r="V84" s="7">
        <f t="shared" si="61"/>
        <v>0</v>
      </c>
      <c r="W84" s="2"/>
      <c r="X84" s="6">
        <f t="shared" si="62"/>
        <v>-5000</v>
      </c>
      <c r="Y84" s="2"/>
      <c r="Z84" s="7">
        <f t="shared" si="63"/>
        <v>-1</v>
      </c>
    </row>
    <row r="85" spans="1:26" s="24" customFormat="1" hidden="1" outlineLevel="2" x14ac:dyDescent="0.3">
      <c r="A85" s="29"/>
      <c r="B85" s="11" t="str">
        <f>CONCATENATE("          ", "6248", " - ", "UNIFORMS")</f>
        <v xml:space="preserve">          6248 - UNIFORMS</v>
      </c>
      <c r="C85" s="11"/>
      <c r="D85" s="6"/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0</v>
      </c>
      <c r="M85" s="2"/>
      <c r="N85" s="7">
        <f t="shared" si="59"/>
        <v>0</v>
      </c>
      <c r="O85" s="11"/>
      <c r="P85" s="6">
        <v>2784.69</v>
      </c>
      <c r="Q85" s="2"/>
      <c r="R85" s="7">
        <f t="shared" si="60"/>
        <v>0</v>
      </c>
      <c r="S85" s="2"/>
      <c r="T85" s="6"/>
      <c r="U85" s="2"/>
      <c r="V85" s="7">
        <f t="shared" si="61"/>
        <v>0</v>
      </c>
      <c r="W85" s="2"/>
      <c r="X85" s="6">
        <f t="shared" si="62"/>
        <v>2784.69</v>
      </c>
      <c r="Y85" s="2"/>
      <c r="Z85" s="7">
        <f t="shared" si="63"/>
        <v>0</v>
      </c>
    </row>
    <row r="86" spans="1:26" s="28" customFormat="1" outlineLevel="1" collapsed="1" x14ac:dyDescent="0.3">
      <c r="A86" s="27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SUM(OSRRefD22_17x_0)</f>
        <v>1567.48</v>
      </c>
      <c r="E86" s="1"/>
      <c r="F86" s="5">
        <f t="shared" ref="F86:F88" si="64">IF(D$12=0,0,D86/D$12)</f>
        <v>0</v>
      </c>
      <c r="G86" s="1"/>
      <c r="H86" s="1">
        <f>SUM(OSRRefH22_17x_0)</f>
        <v>1805</v>
      </c>
      <c r="I86" s="1"/>
      <c r="J86" s="5">
        <f t="shared" ref="J86:J88" si="65">IF(H$12=0,0,H86/H$12)</f>
        <v>0</v>
      </c>
      <c r="K86" s="1"/>
      <c r="L86" s="1">
        <f t="shared" ref="L86:L88" si="66">+D86-H86</f>
        <v>-237.51999999999998</v>
      </c>
      <c r="M86" s="1"/>
      <c r="N86" s="5">
        <f t="shared" ref="N86:N88" si="67">IF(H86=0,0,L86/H86)</f>
        <v>-0.131590027700831</v>
      </c>
      <c r="O86" s="14"/>
      <c r="P86" s="1">
        <f>SUM(OSRRefP22_17x_0)</f>
        <v>13783.84</v>
      </c>
      <c r="Q86" s="1"/>
      <c r="R86" s="5">
        <f t="shared" ref="R86:R88" si="68">IF(P$12=0,0,P86/P$12)</f>
        <v>0</v>
      </c>
      <c r="S86" s="1"/>
      <c r="T86" s="1">
        <f>SUM(OSRRefT22_17x_0)</f>
        <v>10830</v>
      </c>
      <c r="U86" s="1"/>
      <c r="V86" s="5">
        <f t="shared" ref="V86:V88" si="69">IF(T$12=0,0,T86/T$12)</f>
        <v>0</v>
      </c>
      <c r="W86" s="1"/>
      <c r="X86" s="1">
        <f t="shared" ref="X86:X88" si="70">+P86-T86</f>
        <v>2953.84</v>
      </c>
      <c r="Y86" s="1"/>
      <c r="Z86" s="5">
        <f t="shared" ref="Z86:Z88" si="71">IF(T86=0,0,X86/T86)</f>
        <v>0.27274607571560483</v>
      </c>
    </row>
    <row r="87" spans="1:26" s="24" customFormat="1" hidden="1" outlineLevel="2" x14ac:dyDescent="0.3">
      <c r="A87" s="29"/>
      <c r="B87" s="11" t="str">
        <f>CONCATENATE("          ", "6303", " - ", "DATA PHONE LINES")</f>
        <v xml:space="preserve">          6303 - DATA PHONE LINES</v>
      </c>
      <c r="C87" s="11"/>
      <c r="D87" s="6">
        <v>81.99</v>
      </c>
      <c r="E87" s="2"/>
      <c r="F87" s="7">
        <f t="shared" si="64"/>
        <v>0</v>
      </c>
      <c r="G87" s="2"/>
      <c r="H87" s="6">
        <v>236</v>
      </c>
      <c r="I87" s="2"/>
      <c r="J87" s="7">
        <f t="shared" si="65"/>
        <v>0</v>
      </c>
      <c r="K87" s="2"/>
      <c r="L87" s="6">
        <f t="shared" si="66"/>
        <v>-154.01</v>
      </c>
      <c r="M87" s="2"/>
      <c r="N87" s="7">
        <f t="shared" si="67"/>
        <v>-0.65258474576271186</v>
      </c>
      <c r="O87" s="11"/>
      <c r="P87" s="6">
        <v>909.89</v>
      </c>
      <c r="Q87" s="2"/>
      <c r="R87" s="7">
        <f t="shared" si="68"/>
        <v>0</v>
      </c>
      <c r="S87" s="2"/>
      <c r="T87" s="6">
        <v>1416</v>
      </c>
      <c r="U87" s="2"/>
      <c r="V87" s="7">
        <f t="shared" si="69"/>
        <v>0</v>
      </c>
      <c r="W87" s="2"/>
      <c r="X87" s="6">
        <f t="shared" si="70"/>
        <v>-506.11</v>
      </c>
      <c r="Y87" s="2"/>
      <c r="Z87" s="7">
        <f t="shared" si="71"/>
        <v>-0.35742231638418082</v>
      </c>
    </row>
    <row r="88" spans="1:26" s="24" customFormat="1" hidden="1" outlineLevel="2" x14ac:dyDescent="0.3">
      <c r="A88" s="29"/>
      <c r="B88" s="11" t="str">
        <f>CONCATENATE("          ", "6309", " - ", "TELEPHONE")</f>
        <v xml:space="preserve">          6309 - TELEPHONE</v>
      </c>
      <c r="C88" s="11"/>
      <c r="D88" s="6">
        <v>1485.49</v>
      </c>
      <c r="E88" s="2"/>
      <c r="F88" s="7">
        <f t="shared" si="64"/>
        <v>0</v>
      </c>
      <c r="G88" s="2"/>
      <c r="H88" s="6">
        <v>1569</v>
      </c>
      <c r="I88" s="2"/>
      <c r="J88" s="7">
        <f t="shared" si="65"/>
        <v>0</v>
      </c>
      <c r="K88" s="2"/>
      <c r="L88" s="6">
        <f t="shared" si="66"/>
        <v>-83.509999999999991</v>
      </c>
      <c r="M88" s="2"/>
      <c r="N88" s="7">
        <f t="shared" si="67"/>
        <v>-5.3224984066284252E-2</v>
      </c>
      <c r="O88" s="11"/>
      <c r="P88" s="6">
        <v>12873.95</v>
      </c>
      <c r="Q88" s="2"/>
      <c r="R88" s="7">
        <f t="shared" si="68"/>
        <v>0</v>
      </c>
      <c r="S88" s="2"/>
      <c r="T88" s="6">
        <v>9414</v>
      </c>
      <c r="U88" s="2"/>
      <c r="V88" s="7">
        <f t="shared" si="69"/>
        <v>0</v>
      </c>
      <c r="W88" s="2"/>
      <c r="X88" s="6">
        <f t="shared" si="70"/>
        <v>3459.9500000000007</v>
      </c>
      <c r="Y88" s="2"/>
      <c r="Z88" s="7">
        <f t="shared" si="71"/>
        <v>0.3675323985553432</v>
      </c>
    </row>
    <row r="89" spans="1:26" s="28" customFormat="1" outlineLevel="1" collapsed="1" x14ac:dyDescent="0.3">
      <c r="A89" s="27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SUM(OSRRefD22_18x_0)</f>
        <v>99</v>
      </c>
      <c r="E89" s="1"/>
      <c r="F89" s="5">
        <f t="shared" ref="F89:F93" si="72">IF(D$12=0,0,D89/D$12)</f>
        <v>0</v>
      </c>
      <c r="G89" s="1"/>
      <c r="H89" s="1">
        <f>SUM(OSRRefH22_18x_0)</f>
        <v>333</v>
      </c>
      <c r="I89" s="1"/>
      <c r="J89" s="5">
        <f t="shared" ref="J89:J93" si="73">IF(H$12=0,0,H89/H$12)</f>
        <v>0</v>
      </c>
      <c r="K89" s="1"/>
      <c r="L89" s="1">
        <f t="shared" ref="L89:L93" si="74">+D89-H89</f>
        <v>-234</v>
      </c>
      <c r="M89" s="1"/>
      <c r="N89" s="5">
        <f t="shared" ref="N89:N93" si="75">IF(H89=0,0,L89/H89)</f>
        <v>-0.70270270270270274</v>
      </c>
      <c r="O89" s="14"/>
      <c r="P89" s="1">
        <f>SUM(OSRRefP22_18x_0)</f>
        <v>1764</v>
      </c>
      <c r="Q89" s="1"/>
      <c r="R89" s="5">
        <f t="shared" ref="R89:R93" si="76">IF(P$12=0,0,P89/P$12)</f>
        <v>0</v>
      </c>
      <c r="S89" s="1"/>
      <c r="T89" s="1">
        <f>SUM(OSRRefT22_18x_0)</f>
        <v>3248</v>
      </c>
      <c r="U89" s="1"/>
      <c r="V89" s="5">
        <f t="shared" ref="V89:V93" si="77">IF(T$12=0,0,T89/T$12)</f>
        <v>0</v>
      </c>
      <c r="W89" s="1"/>
      <c r="X89" s="1">
        <f t="shared" ref="X89:X93" si="78">+P89-T89</f>
        <v>-1484</v>
      </c>
      <c r="Y89" s="1"/>
      <c r="Z89" s="5">
        <f t="shared" ref="Z89:Z93" si="79">IF(T89=0,0,X89/T89)</f>
        <v>-0.45689655172413796</v>
      </c>
    </row>
    <row r="90" spans="1:26" s="24" customFormat="1" hidden="1" outlineLevel="2" x14ac:dyDescent="0.3">
      <c r="A90" s="29"/>
      <c r="B90" s="11" t="str">
        <f>CONCATENATE("          ", "6376", " - ", "TRAINING")</f>
        <v xml:space="preserve">          6376 - TRAINING</v>
      </c>
      <c r="C90" s="11"/>
      <c r="D90" s="6">
        <v>99</v>
      </c>
      <c r="E90" s="2"/>
      <c r="F90" s="7">
        <f t="shared" si="72"/>
        <v>0</v>
      </c>
      <c r="G90" s="2"/>
      <c r="H90" s="6">
        <v>333</v>
      </c>
      <c r="I90" s="2"/>
      <c r="J90" s="7">
        <f t="shared" si="73"/>
        <v>0</v>
      </c>
      <c r="K90" s="2"/>
      <c r="L90" s="6">
        <f t="shared" si="74"/>
        <v>-234</v>
      </c>
      <c r="M90" s="2"/>
      <c r="N90" s="7">
        <f t="shared" si="75"/>
        <v>-0.70270270270270274</v>
      </c>
      <c r="O90" s="11"/>
      <c r="P90" s="6">
        <v>1764</v>
      </c>
      <c r="Q90" s="2"/>
      <c r="R90" s="7">
        <f t="shared" si="76"/>
        <v>0</v>
      </c>
      <c r="S90" s="2"/>
      <c r="T90" s="6">
        <v>3248</v>
      </c>
      <c r="U90" s="2"/>
      <c r="V90" s="7">
        <f t="shared" si="77"/>
        <v>0</v>
      </c>
      <c r="W90" s="2"/>
      <c r="X90" s="6">
        <f t="shared" si="78"/>
        <v>-1484</v>
      </c>
      <c r="Y90" s="2"/>
      <c r="Z90" s="7">
        <f t="shared" si="79"/>
        <v>-0.45689655172413796</v>
      </c>
    </row>
    <row r="91" spans="1:26" s="28" customFormat="1" outlineLevel="1" collapsed="1" x14ac:dyDescent="0.3">
      <c r="A91" s="27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SUM(OSRRefD22_19x_0)</f>
        <v>0</v>
      </c>
      <c r="E91" s="1"/>
      <c r="F91" s="5">
        <f t="shared" si="72"/>
        <v>0</v>
      </c>
      <c r="G91" s="1"/>
      <c r="H91" s="1">
        <f>SUM(OSRRefH22_19x_0)</f>
        <v>5000</v>
      </c>
      <c r="I91" s="1"/>
      <c r="J91" s="5">
        <f t="shared" si="73"/>
        <v>0</v>
      </c>
      <c r="K91" s="1"/>
      <c r="L91" s="1">
        <f t="shared" si="74"/>
        <v>-5000</v>
      </c>
      <c r="M91" s="1"/>
      <c r="N91" s="5">
        <f t="shared" si="75"/>
        <v>-1</v>
      </c>
      <c r="O91" s="14"/>
      <c r="P91" s="1">
        <f>SUM(OSRRefP22_19x_0)</f>
        <v>30.4</v>
      </c>
      <c r="Q91" s="1"/>
      <c r="R91" s="5">
        <f t="shared" si="76"/>
        <v>0</v>
      </c>
      <c r="S91" s="1"/>
      <c r="T91" s="1">
        <f>SUM(OSRRefT22_19x_0)</f>
        <v>5720</v>
      </c>
      <c r="U91" s="1"/>
      <c r="V91" s="5">
        <f t="shared" si="77"/>
        <v>0</v>
      </c>
      <c r="W91" s="1"/>
      <c r="X91" s="1">
        <f t="shared" si="78"/>
        <v>-5689.6</v>
      </c>
      <c r="Y91" s="1"/>
      <c r="Z91" s="5">
        <f t="shared" si="79"/>
        <v>-0.99468531468531474</v>
      </c>
    </row>
    <row r="92" spans="1:26" s="24" customFormat="1" hidden="1" outlineLevel="2" x14ac:dyDescent="0.3">
      <c r="A92" s="29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72"/>
        <v>0</v>
      </c>
      <c r="G92" s="2"/>
      <c r="H92" s="6">
        <v>3500</v>
      </c>
      <c r="I92" s="2"/>
      <c r="J92" s="7">
        <f t="shared" si="73"/>
        <v>0</v>
      </c>
      <c r="K92" s="2"/>
      <c r="L92" s="6">
        <f t="shared" si="74"/>
        <v>-3500</v>
      </c>
      <c r="M92" s="2"/>
      <c r="N92" s="7">
        <f t="shared" si="75"/>
        <v>-1</v>
      </c>
      <c r="O92" s="11"/>
      <c r="P92" s="6"/>
      <c r="Q92" s="2"/>
      <c r="R92" s="7">
        <f t="shared" si="76"/>
        <v>0</v>
      </c>
      <c r="S92" s="2"/>
      <c r="T92" s="6">
        <v>4220</v>
      </c>
      <c r="U92" s="2"/>
      <c r="V92" s="7">
        <f t="shared" si="77"/>
        <v>0</v>
      </c>
      <c r="W92" s="2"/>
      <c r="X92" s="6">
        <f t="shared" si="78"/>
        <v>-4220</v>
      </c>
      <c r="Y92" s="2"/>
      <c r="Z92" s="7">
        <f t="shared" si="79"/>
        <v>-1</v>
      </c>
    </row>
    <row r="93" spans="1:26" s="24" customFormat="1" hidden="1" outlineLevel="2" x14ac:dyDescent="0.3">
      <c r="A93" s="29"/>
      <c r="B93" s="11" t="str">
        <f>CONCATENATE("          ", "6294", " - ", "TRAVEL OPERATIONAL")</f>
        <v xml:space="preserve">          6294 - TRAVEL OPERATIONAL</v>
      </c>
      <c r="C93" s="11"/>
      <c r="D93" s="6"/>
      <c r="E93" s="2"/>
      <c r="F93" s="7">
        <f t="shared" si="72"/>
        <v>0</v>
      </c>
      <c r="G93" s="2"/>
      <c r="H93" s="6">
        <v>1500</v>
      </c>
      <c r="I93" s="2"/>
      <c r="J93" s="7">
        <f t="shared" si="73"/>
        <v>0</v>
      </c>
      <c r="K93" s="2"/>
      <c r="L93" s="6">
        <f t="shared" si="74"/>
        <v>-1500</v>
      </c>
      <c r="M93" s="2"/>
      <c r="N93" s="7">
        <f t="shared" si="75"/>
        <v>-1</v>
      </c>
      <c r="O93" s="11"/>
      <c r="P93" s="6">
        <v>30.4</v>
      </c>
      <c r="Q93" s="2"/>
      <c r="R93" s="7">
        <f t="shared" si="76"/>
        <v>0</v>
      </c>
      <c r="S93" s="2"/>
      <c r="T93" s="6">
        <v>1500</v>
      </c>
      <c r="U93" s="2"/>
      <c r="V93" s="7">
        <f t="shared" si="77"/>
        <v>0</v>
      </c>
      <c r="W93" s="2"/>
      <c r="X93" s="6">
        <f t="shared" si="78"/>
        <v>-1469.6</v>
      </c>
      <c r="Y93" s="2"/>
      <c r="Z93" s="7">
        <f t="shared" si="79"/>
        <v>-0.97973333333333323</v>
      </c>
    </row>
    <row r="94" spans="1:26" s="55" customFormat="1" x14ac:dyDescent="0.3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3">
      <c r="A95" s="10"/>
      <c r="B95" s="25" t="s">
        <v>293</v>
      </c>
      <c r="C95" s="10"/>
      <c r="D95" s="4">
        <f>SUM(0)</f>
        <v>0</v>
      </c>
      <c r="E95" s="4"/>
      <c r="F95" s="12">
        <f>IF(D$12=0,0,D95/D$12)</f>
        <v>0</v>
      </c>
      <c r="G95" s="4"/>
      <c r="H95" s="4">
        <f>SUM(0)</f>
        <v>0</v>
      </c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>
        <f>SUM(0)</f>
        <v>0</v>
      </c>
      <c r="Q95" s="4"/>
      <c r="R95" s="12">
        <f>IF(P$12=0,0,P95/P$12)</f>
        <v>0</v>
      </c>
      <c r="S95" s="4"/>
      <c r="T95" s="4">
        <f>SUM(0)</f>
        <v>0</v>
      </c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3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3">
      <c r="A97" s="10"/>
      <c r="B97" s="26" t="s">
        <v>277</v>
      </c>
      <c r="C97" s="26"/>
      <c r="D97" s="20">
        <f>+D16-D18+D95</f>
        <v>-216572.44999999998</v>
      </c>
      <c r="E97" s="13"/>
      <c r="F97" s="22">
        <f>IF(D$12=0,0,D97/D$12)</f>
        <v>0</v>
      </c>
      <c r="G97" s="13"/>
      <c r="H97" s="20">
        <f>+H16-H18+H95</f>
        <v>-240598.69333830161</v>
      </c>
      <c r="I97" s="13"/>
      <c r="J97" s="22">
        <f>IF(H$12=0,0,H97/H$12)</f>
        <v>0</v>
      </c>
      <c r="K97" s="16"/>
      <c r="L97" s="20">
        <f>+D97-H97</f>
        <v>24026.243338301632</v>
      </c>
      <c r="M97" s="16"/>
      <c r="N97" s="22">
        <f>IF(H97=0,0,L97/H97)</f>
        <v>-9.9860240323577945E-2</v>
      </c>
      <c r="O97" s="25"/>
      <c r="P97" s="20">
        <f>+P16-P18+P95</f>
        <v>-1369289.3</v>
      </c>
      <c r="Q97" s="13"/>
      <c r="R97" s="22">
        <f>IF(P$12=0,0,P97/P$12)</f>
        <v>0</v>
      </c>
      <c r="S97" s="13"/>
      <c r="T97" s="20">
        <f>+T16-T18+T95</f>
        <v>-1546777.3688758833</v>
      </c>
      <c r="U97" s="13"/>
      <c r="V97" s="22">
        <f>IF(T$12=0,0,T97/T$12)</f>
        <v>0</v>
      </c>
      <c r="W97" s="16"/>
      <c r="X97" s="20">
        <f>+P97-T97</f>
        <v>177488.06887588324</v>
      </c>
      <c r="Y97" s="16"/>
      <c r="Z97" s="22">
        <f>IF(T97=0,0,X97/T97)</f>
        <v>-0.11474700396274369</v>
      </c>
    </row>
    <row r="98" spans="1:26" x14ac:dyDescent="0.3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3">
      <c r="A99" s="52"/>
      <c r="B99" s="10" t="s">
        <v>128</v>
      </c>
      <c r="C99" s="10"/>
      <c r="D99" s="4"/>
      <c r="E99" s="4"/>
      <c r="F99" s="12">
        <f>IF(D$12=0,0,D99/D$12)</f>
        <v>0</v>
      </c>
      <c r="G99" s="4"/>
      <c r="H99" s="4"/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/>
      <c r="Q99" s="4"/>
      <c r="R99" s="12">
        <f>IF(P$12=0,0,P99/P$12)</f>
        <v>0</v>
      </c>
      <c r="S99" s="4"/>
      <c r="T99" s="4"/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3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" thickBot="1" x14ac:dyDescent="0.35">
      <c r="A101" s="10"/>
      <c r="B101" s="26" t="s">
        <v>126</v>
      </c>
      <c r="C101" s="26"/>
      <c r="D101" s="31">
        <f>+D97-D99</f>
        <v>-216572.44999999998</v>
      </c>
      <c r="E101" s="13"/>
      <c r="F101" s="30">
        <f>IF(D$12=0,0,D101/D$12)</f>
        <v>0</v>
      </c>
      <c r="G101" s="13"/>
      <c r="H101" s="31">
        <f>+H97-H99</f>
        <v>-240598.69333830161</v>
      </c>
      <c r="I101" s="13"/>
      <c r="J101" s="30">
        <f>IF(H$12=0,0,H101/H$12)</f>
        <v>0</v>
      </c>
      <c r="K101" s="16"/>
      <c r="L101" s="31">
        <f>D101-H101</f>
        <v>24026.243338301632</v>
      </c>
      <c r="M101" s="16"/>
      <c r="N101" s="30">
        <f>IF(H101=0,0,L101/H101)</f>
        <v>-9.9860240323577945E-2</v>
      </c>
      <c r="O101" s="25"/>
      <c r="P101" s="31">
        <f>+P97-P99</f>
        <v>-1369289.3</v>
      </c>
      <c r="Q101" s="13"/>
      <c r="R101" s="30">
        <f>IF(P$12=0,0,P101/P$12)</f>
        <v>0</v>
      </c>
      <c r="S101" s="13"/>
      <c r="T101" s="31">
        <f>+T97-T99</f>
        <v>-1546777.3688758833</v>
      </c>
      <c r="U101" s="13"/>
      <c r="V101" s="30">
        <f>IF(T$12=0,0,T101/T$12)</f>
        <v>0</v>
      </c>
      <c r="W101" s="16"/>
      <c r="X101" s="31">
        <f>P101-T101</f>
        <v>177488.06887588324</v>
      </c>
      <c r="Y101" s="16"/>
      <c r="Z101" s="30">
        <f>IF(T101=0,0,X101/T101)</f>
        <v>-0.11474700396274369</v>
      </c>
    </row>
    <row r="102" spans="1:26" ht="15" thickTop="1" x14ac:dyDescent="0.3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3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" thickBot="1" x14ac:dyDescent="0.35">
      <c r="A104" s="10"/>
      <c r="B104" s="26" t="s">
        <v>294</v>
      </c>
      <c r="C104" s="26"/>
      <c r="D104" s="35">
        <f>SUM(D101:D103)</f>
        <v>-216572.44999999998</v>
      </c>
      <c r="E104" s="13"/>
      <c r="F104" s="34">
        <f>IF(D$12=0,0,D104/D$12)</f>
        <v>0</v>
      </c>
      <c r="G104" s="13"/>
      <c r="H104" s="35">
        <f>SUM(H101:H103)</f>
        <v>-240598.69333830161</v>
      </c>
      <c r="I104" s="13"/>
      <c r="J104" s="34">
        <f>IF(H$12=0,0,H104/H$12)</f>
        <v>0</v>
      </c>
      <c r="K104" s="16"/>
      <c r="L104" s="35">
        <f>+D104-H104</f>
        <v>24026.243338301632</v>
      </c>
      <c r="M104" s="16"/>
      <c r="N104" s="34">
        <f>IF(H104=0,0,L104/H104)</f>
        <v>-9.9860240323577945E-2</v>
      </c>
      <c r="O104" s="25"/>
      <c r="P104" s="35">
        <f>SUM(P101:P103)</f>
        <v>-1369289.3</v>
      </c>
      <c r="Q104" s="13"/>
      <c r="R104" s="34">
        <f>IF(P$12=0,0,P104/P$12)</f>
        <v>0</v>
      </c>
      <c r="S104" s="13"/>
      <c r="T104" s="35">
        <f>SUM(T101:T103)</f>
        <v>-1546777.3688758833</v>
      </c>
      <c r="U104" s="13"/>
      <c r="V104" s="34">
        <f>IF(T$12=0,0,T104/T$12)</f>
        <v>0</v>
      </c>
      <c r="W104" s="16"/>
      <c r="X104" s="35">
        <f>+P104-T104</f>
        <v>177488.06887588324</v>
      </c>
      <c r="Y104" s="16"/>
      <c r="Z104" s="34">
        <f>IF(T104=0,0,X104/T104)</f>
        <v>-0.11474700396274369</v>
      </c>
    </row>
    <row r="105" spans="1:26" ht="15" thickTop="1" x14ac:dyDescent="0.3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3">
      <c r="A106" s="9"/>
      <c r="B106" s="61">
        <v>44575.842097222223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3">
      <c r="A107" s="9"/>
      <c r="B107" s="62" t="s">
        <v>56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3">
      <c r="A108" s="9"/>
      <c r="B108" s="53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3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","200", " - ", "Corporate Expense")</f>
        <v>Department 200 - Corporate Expense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30131.45</v>
      </c>
      <c r="E18" s="21"/>
      <c r="F18" s="32">
        <f t="shared" ref="F18:F27" si="0">IF(D$12=0,0,D18/D$12)</f>
        <v>0</v>
      </c>
      <c r="G18" s="21"/>
      <c r="H18" s="21">
        <f>SUM(OSRRefH22x_0)</f>
        <v>40008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-9876.5499999999993</v>
      </c>
      <c r="M18" s="4"/>
      <c r="N18" s="32">
        <f t="shared" ref="N18:N27" si="3">IF(H18=0,0,L18/H18)</f>
        <v>-0.24686437712457507</v>
      </c>
      <c r="O18" s="10"/>
      <c r="P18" s="21">
        <f>SUM(OSRRefP22x_0)</f>
        <v>199797.3</v>
      </c>
      <c r="Q18" s="21"/>
      <c r="R18" s="32">
        <f t="shared" ref="R18:R27" si="4">IF(P$12=0,0,P18/P$12)</f>
        <v>0</v>
      </c>
      <c r="S18" s="21"/>
      <c r="T18" s="21">
        <f>SUM(OSRRefT22x_0)</f>
        <v>271548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-71750.700000000012</v>
      </c>
      <c r="Y18" s="4"/>
      <c r="Z18" s="32">
        <f t="shared" ref="Z18:Z27" si="7">IF(T18=0,0,X18/T18)</f>
        <v>-0.26422842370409655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28675.06</v>
      </c>
      <c r="E19" s="1"/>
      <c r="F19" s="5">
        <f t="shared" si="0"/>
        <v>0</v>
      </c>
      <c r="G19" s="1"/>
      <c r="H19" s="1">
        <f>SUM(OSRRefH22_0x_0)</f>
        <v>35000</v>
      </c>
      <c r="I19" s="1"/>
      <c r="J19" s="5">
        <f t="shared" si="1"/>
        <v>0</v>
      </c>
      <c r="K19" s="1"/>
      <c r="L19" s="1">
        <f t="shared" si="2"/>
        <v>-6324.9399999999987</v>
      </c>
      <c r="M19" s="1"/>
      <c r="N19" s="5">
        <f t="shared" si="3"/>
        <v>-0.18071257142857139</v>
      </c>
      <c r="O19" s="14"/>
      <c r="P19" s="1">
        <f>SUM(OSRRefP22_0x_0)</f>
        <v>165716.35999999999</v>
      </c>
      <c r="Q19" s="1"/>
      <c r="R19" s="5">
        <f t="shared" si="4"/>
        <v>0</v>
      </c>
      <c r="S19" s="1"/>
      <c r="T19" s="1">
        <f>SUM(OSRRefT22_0x_0)</f>
        <v>210000</v>
      </c>
      <c r="U19" s="1"/>
      <c r="V19" s="5">
        <f t="shared" si="5"/>
        <v>0</v>
      </c>
      <c r="W19" s="1"/>
      <c r="X19" s="1">
        <f t="shared" si="6"/>
        <v>-44283.640000000014</v>
      </c>
      <c r="Y19" s="1"/>
      <c r="Z19" s="5">
        <f t="shared" si="7"/>
        <v>-0.21087447619047625</v>
      </c>
    </row>
    <row r="20" spans="1:26" s="24" customFormat="1" hidden="1" outlineLevel="2" x14ac:dyDescent="0.3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6">
        <v>28675.06</v>
      </c>
      <c r="E20" s="2"/>
      <c r="F20" s="7">
        <f t="shared" si="0"/>
        <v>0</v>
      </c>
      <c r="G20" s="2"/>
      <c r="H20" s="6">
        <v>35000</v>
      </c>
      <c r="I20" s="2"/>
      <c r="J20" s="7">
        <f t="shared" si="1"/>
        <v>0</v>
      </c>
      <c r="K20" s="2"/>
      <c r="L20" s="6">
        <f t="shared" si="2"/>
        <v>-6324.9399999999987</v>
      </c>
      <c r="M20" s="2"/>
      <c r="N20" s="7">
        <f t="shared" si="3"/>
        <v>-0.18071257142857139</v>
      </c>
      <c r="O20" s="11"/>
      <c r="P20" s="6">
        <v>165716.35999999999</v>
      </c>
      <c r="Q20" s="2"/>
      <c r="R20" s="7">
        <f t="shared" si="4"/>
        <v>0</v>
      </c>
      <c r="S20" s="2"/>
      <c r="T20" s="6">
        <v>210000</v>
      </c>
      <c r="U20" s="2"/>
      <c r="V20" s="7">
        <f t="shared" si="5"/>
        <v>0</v>
      </c>
      <c r="W20" s="2"/>
      <c r="X20" s="6">
        <f t="shared" si="6"/>
        <v>-44283.640000000014</v>
      </c>
      <c r="Y20" s="2"/>
      <c r="Z20" s="7">
        <f t="shared" si="7"/>
        <v>-0.21087447619047625</v>
      </c>
    </row>
    <row r="21" spans="1:26" s="28" customFormat="1" outlineLevel="1" collapsed="1" x14ac:dyDescent="0.3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119.71</v>
      </c>
      <c r="E21" s="1"/>
      <c r="F21" s="5">
        <f t="shared" si="0"/>
        <v>0</v>
      </c>
      <c r="G21" s="1"/>
      <c r="H21" s="1">
        <f>SUM(OSRRefH22_1x_0)</f>
        <v>2000</v>
      </c>
      <c r="I21" s="1"/>
      <c r="J21" s="5">
        <f t="shared" si="1"/>
        <v>0</v>
      </c>
      <c r="K21" s="1"/>
      <c r="L21" s="1">
        <f t="shared" si="2"/>
        <v>-1880.29</v>
      </c>
      <c r="M21" s="1"/>
      <c r="N21" s="5">
        <f t="shared" si="3"/>
        <v>-0.94014500000000001</v>
      </c>
      <c r="O21" s="14"/>
      <c r="P21" s="1">
        <f>SUM(OSRRefP22_1x_0)</f>
        <v>5598.93</v>
      </c>
      <c r="Q21" s="1"/>
      <c r="R21" s="5">
        <f t="shared" si="4"/>
        <v>0</v>
      </c>
      <c r="S21" s="1"/>
      <c r="T21" s="1">
        <f>SUM(OSRRefT22_1x_0)</f>
        <v>18000</v>
      </c>
      <c r="U21" s="1"/>
      <c r="V21" s="5">
        <f t="shared" si="5"/>
        <v>0</v>
      </c>
      <c r="W21" s="1"/>
      <c r="X21" s="1">
        <f t="shared" si="6"/>
        <v>-12401.07</v>
      </c>
      <c r="Y21" s="1"/>
      <c r="Z21" s="5">
        <f t="shared" si="7"/>
        <v>-0.68894833333333327</v>
      </c>
    </row>
    <row r="22" spans="1:26" s="24" customFormat="1" hidden="1" outlineLevel="2" x14ac:dyDescent="0.3">
      <c r="A22" s="29"/>
      <c r="B22" s="11" t="str">
        <f>CONCATENATE("          ", "6381", " - ", "BANK/CREDIT CARD FEES")</f>
        <v xml:space="preserve">          6381 - BANK/CREDIT CARD FEES</v>
      </c>
      <c r="C22" s="11"/>
      <c r="D22" s="6">
        <v>119.71</v>
      </c>
      <c r="E22" s="2"/>
      <c r="F22" s="7">
        <f t="shared" si="0"/>
        <v>0</v>
      </c>
      <c r="G22" s="2"/>
      <c r="H22" s="6">
        <v>2000</v>
      </c>
      <c r="I22" s="2"/>
      <c r="J22" s="7">
        <f t="shared" si="1"/>
        <v>0</v>
      </c>
      <c r="K22" s="2"/>
      <c r="L22" s="6">
        <f t="shared" si="2"/>
        <v>-1880.29</v>
      </c>
      <c r="M22" s="2"/>
      <c r="N22" s="7">
        <f t="shared" si="3"/>
        <v>-0.94014500000000001</v>
      </c>
      <c r="O22" s="11"/>
      <c r="P22" s="6">
        <v>5598.93</v>
      </c>
      <c r="Q22" s="2"/>
      <c r="R22" s="7">
        <f t="shared" si="4"/>
        <v>0</v>
      </c>
      <c r="S22" s="2"/>
      <c r="T22" s="6">
        <v>18000</v>
      </c>
      <c r="U22" s="2"/>
      <c r="V22" s="7">
        <f t="shared" si="5"/>
        <v>0</v>
      </c>
      <c r="W22" s="2"/>
      <c r="X22" s="6">
        <f t="shared" si="6"/>
        <v>-12401.07</v>
      </c>
      <c r="Y22" s="2"/>
      <c r="Z22" s="7">
        <f t="shared" si="7"/>
        <v>-0.68894833333333327</v>
      </c>
    </row>
    <row r="23" spans="1:26" s="28" customFormat="1" outlineLevel="1" collapsed="1" x14ac:dyDescent="0.3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1336.68</v>
      </c>
      <c r="E23" s="1"/>
      <c r="F23" s="5">
        <f t="shared" si="0"/>
        <v>0</v>
      </c>
      <c r="G23" s="1"/>
      <c r="H23" s="1">
        <f>SUM(OSRRefH22_2x_0)</f>
        <v>3008</v>
      </c>
      <c r="I23" s="1"/>
      <c r="J23" s="5">
        <f t="shared" si="1"/>
        <v>0</v>
      </c>
      <c r="K23" s="1"/>
      <c r="L23" s="1">
        <f t="shared" si="2"/>
        <v>-1671.32</v>
      </c>
      <c r="M23" s="1"/>
      <c r="N23" s="5">
        <f t="shared" si="3"/>
        <v>-0.55562499999999992</v>
      </c>
      <c r="O23" s="14"/>
      <c r="P23" s="1">
        <f>SUM(OSRRefP22_2x_0)</f>
        <v>7656.51</v>
      </c>
      <c r="Q23" s="1"/>
      <c r="R23" s="5">
        <f t="shared" si="4"/>
        <v>0</v>
      </c>
      <c r="S23" s="1"/>
      <c r="T23" s="1">
        <f>SUM(OSRRefT22_2x_0)</f>
        <v>9548</v>
      </c>
      <c r="U23" s="1"/>
      <c r="V23" s="5">
        <f t="shared" si="5"/>
        <v>0</v>
      </c>
      <c r="W23" s="1"/>
      <c r="X23" s="1">
        <f t="shared" si="6"/>
        <v>-1891.4899999999998</v>
      </c>
      <c r="Y23" s="1"/>
      <c r="Z23" s="5">
        <f t="shared" si="7"/>
        <v>-0.19810326770004186</v>
      </c>
    </row>
    <row r="24" spans="1:26" s="24" customFormat="1" hidden="1" outlineLevel="2" x14ac:dyDescent="0.3">
      <c r="A24" s="29"/>
      <c r="B24" s="11" t="str">
        <f>CONCATENATE("          ", "6397", " - ", "BOARD EXPENSES")</f>
        <v xml:space="preserve">          6397 - BOARD EXPENSES</v>
      </c>
      <c r="C24" s="11"/>
      <c r="D24" s="6">
        <v>1336.68</v>
      </c>
      <c r="E24" s="2"/>
      <c r="F24" s="7">
        <f t="shared" si="0"/>
        <v>0</v>
      </c>
      <c r="G24" s="2"/>
      <c r="H24" s="6">
        <v>3008</v>
      </c>
      <c r="I24" s="2"/>
      <c r="J24" s="7">
        <f t="shared" si="1"/>
        <v>0</v>
      </c>
      <c r="K24" s="2"/>
      <c r="L24" s="6">
        <f t="shared" si="2"/>
        <v>-1671.32</v>
      </c>
      <c r="M24" s="2"/>
      <c r="N24" s="7">
        <f t="shared" si="3"/>
        <v>-0.55562499999999992</v>
      </c>
      <c r="O24" s="11"/>
      <c r="P24" s="6">
        <v>7656.51</v>
      </c>
      <c r="Q24" s="2"/>
      <c r="R24" s="7">
        <f t="shared" si="4"/>
        <v>0</v>
      </c>
      <c r="S24" s="2"/>
      <c r="T24" s="6">
        <v>9548</v>
      </c>
      <c r="U24" s="2"/>
      <c r="V24" s="7">
        <f t="shared" si="5"/>
        <v>0</v>
      </c>
      <c r="W24" s="2"/>
      <c r="X24" s="6">
        <f t="shared" si="6"/>
        <v>-1891.4899999999998</v>
      </c>
      <c r="Y24" s="2"/>
      <c r="Z24" s="7">
        <f t="shared" si="7"/>
        <v>-0.19810326770004186</v>
      </c>
    </row>
    <row r="25" spans="1:26" s="28" customFormat="1" outlineLevel="1" collapsed="1" x14ac:dyDescent="0.3">
      <c r="A25" s="27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20825.5</v>
      </c>
      <c r="Q25" s="1"/>
      <c r="R25" s="5">
        <f t="shared" si="4"/>
        <v>0</v>
      </c>
      <c r="S25" s="1"/>
      <c r="T25" s="1">
        <f>SUM(OSRRefT22_3x_0)</f>
        <v>34000</v>
      </c>
      <c r="U25" s="1"/>
      <c r="V25" s="5">
        <f t="shared" si="5"/>
        <v>0</v>
      </c>
      <c r="W25" s="1"/>
      <c r="X25" s="1">
        <f t="shared" si="6"/>
        <v>-13174.5</v>
      </c>
      <c r="Y25" s="1"/>
      <c r="Z25" s="5">
        <f t="shared" si="7"/>
        <v>-0.38748529411764704</v>
      </c>
    </row>
    <row r="26" spans="1:26" s="24" customFormat="1" hidden="1" outlineLevel="2" x14ac:dyDescent="0.3">
      <c r="A26" s="29"/>
      <c r="B26" s="11" t="str">
        <f>CONCATENATE("          ", "6331", " - ", "INDIRECT COSTS-AUXILIARY ORGAN")</f>
        <v xml:space="preserve">          6331 - INDIRECT COSTS-AUXILIARY ORGAN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20825.5</v>
      </c>
      <c r="Q26" s="2"/>
      <c r="R26" s="7">
        <f t="shared" si="4"/>
        <v>0</v>
      </c>
      <c r="S26" s="2"/>
      <c r="T26" s="6">
        <v>26000</v>
      </c>
      <c r="U26" s="2"/>
      <c r="V26" s="7">
        <f t="shared" si="5"/>
        <v>0</v>
      </c>
      <c r="W26" s="2"/>
      <c r="X26" s="6">
        <f t="shared" si="6"/>
        <v>-5174.5</v>
      </c>
      <c r="Y26" s="2"/>
      <c r="Z26" s="7">
        <f t="shared" si="7"/>
        <v>-0.19901923076923078</v>
      </c>
    </row>
    <row r="27" spans="1:26" s="24" customFormat="1" hidden="1" outlineLevel="2" x14ac:dyDescent="0.3">
      <c r="A27" s="29"/>
      <c r="B27" s="11" t="str">
        <f>CONCATENATE("          ", "6332", " - ", "CONSULTANT FEES")</f>
        <v xml:space="preserve">          6332 - CONSULTANT FEES</v>
      </c>
      <c r="C27" s="11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8000</v>
      </c>
      <c r="U27" s="2"/>
      <c r="V27" s="7">
        <f t="shared" si="5"/>
        <v>0</v>
      </c>
      <c r="W27" s="2"/>
      <c r="X27" s="6">
        <f t="shared" si="6"/>
        <v>-8000</v>
      </c>
      <c r="Y27" s="2"/>
      <c r="Z27" s="7">
        <f t="shared" si="7"/>
        <v>-1</v>
      </c>
    </row>
    <row r="28" spans="1:26" s="55" customFormat="1" x14ac:dyDescent="0.3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5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277</v>
      </c>
      <c r="C31" s="26"/>
      <c r="D31" s="20">
        <f>+D16-D18+D29</f>
        <v>-30131.45</v>
      </c>
      <c r="E31" s="13"/>
      <c r="F31" s="22">
        <f>IF(D$12=0,0,D31/D$12)</f>
        <v>0</v>
      </c>
      <c r="G31" s="13"/>
      <c r="H31" s="20">
        <f>+H16-H18+H29</f>
        <v>-40008</v>
      </c>
      <c r="I31" s="13"/>
      <c r="J31" s="22">
        <f>IF(H$12=0,0,H31/H$12)</f>
        <v>0</v>
      </c>
      <c r="K31" s="16"/>
      <c r="L31" s="20">
        <f>+D31-H31</f>
        <v>9876.5499999999993</v>
      </c>
      <c r="M31" s="16"/>
      <c r="N31" s="22">
        <f>IF(H31=0,0,L31/H31)</f>
        <v>-0.24686437712457507</v>
      </c>
      <c r="O31" s="25"/>
      <c r="P31" s="20">
        <f>+P16-P18+P29</f>
        <v>-199797.3</v>
      </c>
      <c r="Q31" s="13"/>
      <c r="R31" s="22">
        <f>IF(P$12=0,0,P31/P$12)</f>
        <v>0</v>
      </c>
      <c r="S31" s="13"/>
      <c r="T31" s="20">
        <f>+T16-T18+T29</f>
        <v>-271548</v>
      </c>
      <c r="U31" s="13"/>
      <c r="V31" s="22">
        <f>IF(T$12=0,0,T31/T$12)</f>
        <v>0</v>
      </c>
      <c r="W31" s="16"/>
      <c r="X31" s="20">
        <f>+P31-T31</f>
        <v>71750.700000000012</v>
      </c>
      <c r="Y31" s="16"/>
      <c r="Z31" s="22">
        <f>IF(T31=0,0,X31/T31)</f>
        <v>-0.26422842370409655</v>
      </c>
    </row>
    <row r="32" spans="1:26" x14ac:dyDescent="0.3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128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3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126</v>
      </c>
      <c r="C35" s="26"/>
      <c r="D35" s="31">
        <f>+D31-D33</f>
        <v>-30131.45</v>
      </c>
      <c r="E35" s="13"/>
      <c r="F35" s="30">
        <f>IF(D$12=0,0,D35/D$12)</f>
        <v>0</v>
      </c>
      <c r="G35" s="13"/>
      <c r="H35" s="31">
        <f>+H31-H33</f>
        <v>-40008</v>
      </c>
      <c r="I35" s="13"/>
      <c r="J35" s="30">
        <f>IF(H$12=0,0,H35/H$12)</f>
        <v>0</v>
      </c>
      <c r="K35" s="16"/>
      <c r="L35" s="31">
        <f>D35-H35</f>
        <v>9876.5499999999993</v>
      </c>
      <c r="M35" s="16"/>
      <c r="N35" s="30">
        <f>IF(H35=0,0,L35/H35)</f>
        <v>-0.24686437712457507</v>
      </c>
      <c r="O35" s="25"/>
      <c r="P35" s="31">
        <f>+P31-P33</f>
        <v>-199797.3</v>
      </c>
      <c r="Q35" s="13"/>
      <c r="R35" s="30">
        <f>IF(P$12=0,0,P35/P$12)</f>
        <v>0</v>
      </c>
      <c r="S35" s="13"/>
      <c r="T35" s="31">
        <f>+T31-T33</f>
        <v>-271548</v>
      </c>
      <c r="U35" s="13"/>
      <c r="V35" s="30">
        <f>IF(T$12=0,0,T35/T$12)</f>
        <v>0</v>
      </c>
      <c r="W35" s="16"/>
      <c r="X35" s="31">
        <f>P35-T35</f>
        <v>71750.700000000012</v>
      </c>
      <c r="Y35" s="16"/>
      <c r="Z35" s="30">
        <f>IF(T35=0,0,X35/T35)</f>
        <v>-0.26422842370409655</v>
      </c>
    </row>
    <row r="36" spans="1:26" ht="15" thickTop="1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" thickBot="1" x14ac:dyDescent="0.35">
      <c r="A38" s="10"/>
      <c r="B38" s="26" t="s">
        <v>294</v>
      </c>
      <c r="C38" s="26"/>
      <c r="D38" s="35">
        <f>SUM(D35:D37)</f>
        <v>-30131.45</v>
      </c>
      <c r="E38" s="13"/>
      <c r="F38" s="34">
        <f>IF(D$12=0,0,D38/D$12)</f>
        <v>0</v>
      </c>
      <c r="G38" s="13"/>
      <c r="H38" s="35">
        <f>SUM(H35:H37)</f>
        <v>-40008</v>
      </c>
      <c r="I38" s="13"/>
      <c r="J38" s="34">
        <f>IF(H$12=0,0,H38/H$12)</f>
        <v>0</v>
      </c>
      <c r="K38" s="16"/>
      <c r="L38" s="35">
        <f>+D38-H38</f>
        <v>9876.5499999999993</v>
      </c>
      <c r="M38" s="16"/>
      <c r="N38" s="34">
        <f>IF(H38=0,0,L38/H38)</f>
        <v>-0.24686437712457507</v>
      </c>
      <c r="O38" s="25"/>
      <c r="P38" s="35">
        <f>SUM(P35:P37)</f>
        <v>-199797.3</v>
      </c>
      <c r="Q38" s="13"/>
      <c r="R38" s="34">
        <f>IF(P$12=0,0,P38/P$12)</f>
        <v>0</v>
      </c>
      <c r="S38" s="13"/>
      <c r="T38" s="35">
        <f>SUM(T35:T37)</f>
        <v>-271548</v>
      </c>
      <c r="U38" s="13"/>
      <c r="V38" s="34">
        <f>IF(T$12=0,0,T38/T$12)</f>
        <v>0</v>
      </c>
      <c r="W38" s="16"/>
      <c r="X38" s="35">
        <f>+P38-T38</f>
        <v>71750.700000000012</v>
      </c>
      <c r="Y38" s="16"/>
      <c r="Z38" s="34">
        <f>IF(T38=0,0,X38/T38)</f>
        <v>-0.26422842370409655</v>
      </c>
    </row>
    <row r="39" spans="1:26" ht="15" thickTop="1" x14ac:dyDescent="0.3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>
        <v>44575.842125659721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A41" s="9"/>
      <c r="B41" s="62" t="s">
        <v>56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">
      <c r="A42" s="9"/>
      <c r="B42" s="53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3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","201", " - ", "General Manager")</f>
        <v>Department 201 - General Manager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30381.72</v>
      </c>
      <c r="E18" s="21"/>
      <c r="F18" s="32">
        <f t="shared" ref="F18:F28" si="0">IF(D$12=0,0,D18/D$12)</f>
        <v>0</v>
      </c>
      <c r="G18" s="21"/>
      <c r="H18" s="21">
        <f>SUM(OSRRefH22x_0)</f>
        <v>46232.928969230801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-15851.2089692308</v>
      </c>
      <c r="M18" s="4"/>
      <c r="N18" s="32">
        <f t="shared" ref="N18:N28" si="3">IF(H18=0,0,L18/H18)</f>
        <v>-0.34285539165775514</v>
      </c>
      <c r="O18" s="10"/>
      <c r="P18" s="21">
        <f>SUM(OSRRefP22x_0)</f>
        <v>239015.44999999998</v>
      </c>
      <c r="Q18" s="21"/>
      <c r="R18" s="32">
        <f t="shared" ref="R18:R28" si="4">IF(P$12=0,0,P18/P$12)</f>
        <v>0</v>
      </c>
      <c r="S18" s="21"/>
      <c r="T18" s="21">
        <f>SUM(OSRRefT22x_0)</f>
        <v>304595.57887692307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-65580.128876923089</v>
      </c>
      <c r="Y18" s="4"/>
      <c r="Z18" s="32">
        <f t="shared" ref="Z18:Z28" si="7">IF(T18=0,0,X18/T18)</f>
        <v>-0.2153023005741716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9639.56</v>
      </c>
      <c r="E19" s="1"/>
      <c r="F19" s="5">
        <f t="shared" si="0"/>
        <v>0</v>
      </c>
      <c r="G19" s="1"/>
      <c r="H19" s="1">
        <f>SUM(OSRRefH22_0x_0)</f>
        <v>10765.590507692315</v>
      </c>
      <c r="I19" s="1"/>
      <c r="J19" s="5">
        <f t="shared" si="1"/>
        <v>0</v>
      </c>
      <c r="K19" s="1"/>
      <c r="L19" s="1">
        <f t="shared" si="2"/>
        <v>-1126.030507692316</v>
      </c>
      <c r="M19" s="1"/>
      <c r="N19" s="5">
        <f t="shared" si="3"/>
        <v>-0.1045953314764978</v>
      </c>
      <c r="O19" s="14"/>
      <c r="P19" s="1">
        <f>SUM(OSRRefP22_0x_0)</f>
        <v>63284.19</v>
      </c>
      <c r="Q19" s="1"/>
      <c r="R19" s="5">
        <f t="shared" si="4"/>
        <v>0</v>
      </c>
      <c r="S19" s="1"/>
      <c r="T19" s="1">
        <f>SUM(OSRRefT22_0x_0)</f>
        <v>57048.225030769288</v>
      </c>
      <c r="U19" s="1"/>
      <c r="V19" s="5">
        <f t="shared" si="5"/>
        <v>0</v>
      </c>
      <c r="W19" s="1"/>
      <c r="X19" s="1">
        <f t="shared" si="6"/>
        <v>6235.9649692307139</v>
      </c>
      <c r="Y19" s="1"/>
      <c r="Z19" s="5">
        <f t="shared" si="7"/>
        <v>0.10931041177648051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>
        <v>630.71</v>
      </c>
      <c r="E20" s="2"/>
      <c r="F20" s="7">
        <f t="shared" si="0"/>
        <v>0</v>
      </c>
      <c r="G20" s="2"/>
      <c r="H20" s="6">
        <v>1951.0440461538501</v>
      </c>
      <c r="I20" s="2"/>
      <c r="J20" s="7">
        <f t="shared" si="1"/>
        <v>0</v>
      </c>
      <c r="K20" s="2"/>
      <c r="L20" s="6">
        <f t="shared" si="2"/>
        <v>-1320.3340461538501</v>
      </c>
      <c r="M20" s="2"/>
      <c r="N20" s="7">
        <f t="shared" si="3"/>
        <v>-0.67673205469485065</v>
      </c>
      <c r="O20" s="11"/>
      <c r="P20" s="6">
        <v>6993.85</v>
      </c>
      <c r="Q20" s="2"/>
      <c r="R20" s="7">
        <f t="shared" si="4"/>
        <v>0</v>
      </c>
      <c r="S20" s="2"/>
      <c r="T20" s="6">
        <v>10337.3191846154</v>
      </c>
      <c r="U20" s="2"/>
      <c r="V20" s="7">
        <f t="shared" si="5"/>
        <v>0</v>
      </c>
      <c r="W20" s="2"/>
      <c r="X20" s="6">
        <f t="shared" si="6"/>
        <v>-3343.4691846154001</v>
      </c>
      <c r="Y20" s="2"/>
      <c r="Z20" s="7">
        <f t="shared" si="7"/>
        <v>-0.32343677552216299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246.81</v>
      </c>
      <c r="E21" s="2"/>
      <c r="F21" s="7">
        <f t="shared" si="0"/>
        <v>0</v>
      </c>
      <c r="G21" s="2"/>
      <c r="H21" s="6">
        <v>79.030923076923102</v>
      </c>
      <c r="I21" s="2"/>
      <c r="J21" s="7">
        <f t="shared" si="1"/>
        <v>0</v>
      </c>
      <c r="K21" s="2"/>
      <c r="L21" s="6">
        <f t="shared" si="2"/>
        <v>167.7790769230769</v>
      </c>
      <c r="M21" s="2"/>
      <c r="N21" s="7">
        <f t="shared" si="3"/>
        <v>2.1229547927685553</v>
      </c>
      <c r="O21" s="11"/>
      <c r="P21" s="6">
        <v>1597.73</v>
      </c>
      <c r="Q21" s="2"/>
      <c r="R21" s="7">
        <f t="shared" si="4"/>
        <v>0</v>
      </c>
      <c r="S21" s="2"/>
      <c r="T21" s="6">
        <v>418.73369230769202</v>
      </c>
      <c r="U21" s="2"/>
      <c r="V21" s="7">
        <f t="shared" si="5"/>
        <v>0</v>
      </c>
      <c r="W21" s="2"/>
      <c r="X21" s="6">
        <f t="shared" si="6"/>
        <v>1178.9963076923079</v>
      </c>
      <c r="Y21" s="2"/>
      <c r="Z21" s="7">
        <f t="shared" si="7"/>
        <v>2.8156232215151276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>
        <v>3909.65</v>
      </c>
      <c r="E22" s="2"/>
      <c r="F22" s="7">
        <f t="shared" si="0"/>
        <v>0</v>
      </c>
      <c r="G22" s="2"/>
      <c r="H22" s="6">
        <v>4050</v>
      </c>
      <c r="I22" s="2"/>
      <c r="J22" s="7">
        <f t="shared" si="1"/>
        <v>0</v>
      </c>
      <c r="K22" s="2"/>
      <c r="L22" s="6">
        <f t="shared" si="2"/>
        <v>-140.34999999999991</v>
      </c>
      <c r="M22" s="2"/>
      <c r="N22" s="7">
        <f t="shared" si="3"/>
        <v>-3.4654320987654301E-2</v>
      </c>
      <c r="O22" s="11"/>
      <c r="P22" s="6">
        <v>23656.34</v>
      </c>
      <c r="Q22" s="2"/>
      <c r="R22" s="7">
        <f t="shared" si="4"/>
        <v>0</v>
      </c>
      <c r="S22" s="2"/>
      <c r="T22" s="6">
        <v>21536</v>
      </c>
      <c r="U22" s="2"/>
      <c r="V22" s="7">
        <f t="shared" si="5"/>
        <v>0</v>
      </c>
      <c r="W22" s="2"/>
      <c r="X22" s="6">
        <f t="shared" si="6"/>
        <v>2120.34</v>
      </c>
      <c r="Y22" s="2"/>
      <c r="Z22" s="7">
        <f t="shared" si="7"/>
        <v>9.8455609212481435E-2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49.74</v>
      </c>
      <c r="E23" s="2"/>
      <c r="F23" s="7">
        <f t="shared" si="0"/>
        <v>0</v>
      </c>
      <c r="G23" s="2"/>
      <c r="H23" s="6">
        <v>53.537076923076903</v>
      </c>
      <c r="I23" s="2"/>
      <c r="J23" s="7">
        <f t="shared" si="1"/>
        <v>0</v>
      </c>
      <c r="K23" s="2"/>
      <c r="L23" s="6">
        <f t="shared" si="2"/>
        <v>-3.7970769230769008</v>
      </c>
      <c r="M23" s="2"/>
      <c r="N23" s="7">
        <f t="shared" si="3"/>
        <v>-7.0924248040897225E-2</v>
      </c>
      <c r="O23" s="11"/>
      <c r="P23" s="6">
        <v>322.02</v>
      </c>
      <c r="Q23" s="2"/>
      <c r="R23" s="7">
        <f t="shared" si="4"/>
        <v>0</v>
      </c>
      <c r="S23" s="2"/>
      <c r="T23" s="6">
        <v>283.65830769230797</v>
      </c>
      <c r="U23" s="2"/>
      <c r="V23" s="7">
        <f t="shared" si="5"/>
        <v>0</v>
      </c>
      <c r="W23" s="2"/>
      <c r="X23" s="6">
        <f t="shared" si="6"/>
        <v>38.36169230769201</v>
      </c>
      <c r="Y23" s="2"/>
      <c r="Z23" s="7">
        <f t="shared" si="7"/>
        <v>0.13523909318849917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>
        <v>2042.29</v>
      </c>
      <c r="E24" s="2"/>
      <c r="F24" s="7">
        <f t="shared" si="0"/>
        <v>0</v>
      </c>
      <c r="G24" s="2"/>
      <c r="H24" s="6">
        <v>2192.4707692307702</v>
      </c>
      <c r="I24" s="2"/>
      <c r="J24" s="7">
        <f t="shared" si="1"/>
        <v>0</v>
      </c>
      <c r="K24" s="2"/>
      <c r="L24" s="6">
        <f t="shared" si="2"/>
        <v>-150.18076923077024</v>
      </c>
      <c r="M24" s="2"/>
      <c r="N24" s="7">
        <f t="shared" si="3"/>
        <v>-6.8498413451350715E-2</v>
      </c>
      <c r="O24" s="11"/>
      <c r="P24" s="6">
        <v>13179</v>
      </c>
      <c r="Q24" s="2"/>
      <c r="R24" s="7">
        <f t="shared" si="4"/>
        <v>0</v>
      </c>
      <c r="S24" s="2"/>
      <c r="T24" s="6">
        <v>11616.483076923099</v>
      </c>
      <c r="U24" s="2"/>
      <c r="V24" s="7">
        <f t="shared" si="5"/>
        <v>0</v>
      </c>
      <c r="W24" s="2"/>
      <c r="X24" s="6">
        <f t="shared" si="6"/>
        <v>1562.5169230769006</v>
      </c>
      <c r="Y24" s="2"/>
      <c r="Z24" s="7">
        <f t="shared" si="7"/>
        <v>0.13450860408697554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6">
        <v>1674.78</v>
      </c>
      <c r="E26" s="2"/>
      <c r="F26" s="7">
        <f t="shared" si="0"/>
        <v>0</v>
      </c>
      <c r="G26" s="2"/>
      <c r="H26" s="6">
        <v>1274.6923076923099</v>
      </c>
      <c r="I26" s="2"/>
      <c r="J26" s="7">
        <f t="shared" si="1"/>
        <v>0</v>
      </c>
      <c r="K26" s="2"/>
      <c r="L26" s="6">
        <f t="shared" si="2"/>
        <v>400.08769230769008</v>
      </c>
      <c r="M26" s="2"/>
      <c r="N26" s="7">
        <f t="shared" si="3"/>
        <v>0.31387001387966701</v>
      </c>
      <c r="O26" s="11"/>
      <c r="P26" s="6">
        <v>10814.97</v>
      </c>
      <c r="Q26" s="2"/>
      <c r="R26" s="7">
        <f t="shared" si="4"/>
        <v>0</v>
      </c>
      <c r="S26" s="2"/>
      <c r="T26" s="6">
        <v>6753.7692307692396</v>
      </c>
      <c r="U26" s="2"/>
      <c r="V26" s="7">
        <f t="shared" si="5"/>
        <v>0</v>
      </c>
      <c r="W26" s="2"/>
      <c r="X26" s="6">
        <f t="shared" si="6"/>
        <v>4061.2007692307598</v>
      </c>
      <c r="Y26" s="2"/>
      <c r="Z26" s="7">
        <f t="shared" si="7"/>
        <v>0.60132359138486557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6">
        <v>865.82</v>
      </c>
      <c r="E27" s="2"/>
      <c r="F27" s="7">
        <f t="shared" si="0"/>
        <v>0</v>
      </c>
      <c r="G27" s="2"/>
      <c r="H27" s="6">
        <v>764.81538461538503</v>
      </c>
      <c r="I27" s="2"/>
      <c r="J27" s="7">
        <f t="shared" si="1"/>
        <v>0</v>
      </c>
      <c r="K27" s="2"/>
      <c r="L27" s="6">
        <f t="shared" si="2"/>
        <v>101.00461538461502</v>
      </c>
      <c r="M27" s="2"/>
      <c r="N27" s="7">
        <f t="shared" si="3"/>
        <v>0.13206404763341525</v>
      </c>
      <c r="O27" s="11"/>
      <c r="P27" s="6">
        <v>5587.24</v>
      </c>
      <c r="Q27" s="2"/>
      <c r="R27" s="7">
        <f t="shared" si="4"/>
        <v>0</v>
      </c>
      <c r="S27" s="2"/>
      <c r="T27" s="6">
        <v>4052.2615384615401</v>
      </c>
      <c r="U27" s="2"/>
      <c r="V27" s="7">
        <f t="shared" si="5"/>
        <v>0</v>
      </c>
      <c r="W27" s="2"/>
      <c r="X27" s="6">
        <f t="shared" si="6"/>
        <v>1534.9784615384597</v>
      </c>
      <c r="Y27" s="2"/>
      <c r="Z27" s="7">
        <f t="shared" si="7"/>
        <v>0.37879550640288173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6">
        <v>219.76</v>
      </c>
      <c r="E28" s="2"/>
      <c r="F28" s="7">
        <f t="shared" si="0"/>
        <v>0</v>
      </c>
      <c r="G28" s="2"/>
      <c r="H28" s="6">
        <v>400</v>
      </c>
      <c r="I28" s="2"/>
      <c r="J28" s="7">
        <f t="shared" si="1"/>
        <v>0</v>
      </c>
      <c r="K28" s="2"/>
      <c r="L28" s="6">
        <f t="shared" si="2"/>
        <v>-180.24</v>
      </c>
      <c r="M28" s="2"/>
      <c r="N28" s="7">
        <f t="shared" si="3"/>
        <v>-0.4506</v>
      </c>
      <c r="O28" s="11"/>
      <c r="P28" s="6">
        <v>1133.04</v>
      </c>
      <c r="Q28" s="2"/>
      <c r="R28" s="7">
        <f t="shared" si="4"/>
        <v>0</v>
      </c>
      <c r="S28" s="2"/>
      <c r="T28" s="6">
        <v>2050</v>
      </c>
      <c r="U28" s="2"/>
      <c r="V28" s="7">
        <f t="shared" si="5"/>
        <v>0</v>
      </c>
      <c r="W28" s="2"/>
      <c r="X28" s="6">
        <f t="shared" si="6"/>
        <v>-916.96</v>
      </c>
      <c r="Y28" s="2"/>
      <c r="Z28" s="7">
        <f t="shared" si="7"/>
        <v>-0.4472975609756098</v>
      </c>
    </row>
    <row r="29" spans="1:26" s="28" customFormat="1" outlineLevel="1" collapsed="1" x14ac:dyDescent="0.3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17589.43</v>
      </c>
      <c r="E29" s="1"/>
      <c r="F29" s="5">
        <f t="shared" ref="F29:F39" si="8">IF(D$12=0,0,D29/D$12)</f>
        <v>0</v>
      </c>
      <c r="G29" s="1"/>
      <c r="H29" s="1">
        <f>SUM(OSRRefH22_1x_0)</f>
        <v>23454.338461538489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-5864.9084615384891</v>
      </c>
      <c r="M29" s="1"/>
      <c r="N29" s="5">
        <f t="shared" ref="N29:N39" si="11">IF(H29=0,0,L29/H29)</f>
        <v>-0.25005644355120216</v>
      </c>
      <c r="O29" s="14"/>
      <c r="P29" s="1">
        <f>SUM(OSRRefP22_1x_0)</f>
        <v>77676.989999999991</v>
      </c>
      <c r="Q29" s="1"/>
      <c r="R29" s="5">
        <f t="shared" ref="R29:R39" si="12">IF(P$12=0,0,P29/P$12)</f>
        <v>0</v>
      </c>
      <c r="S29" s="1"/>
      <c r="T29" s="1">
        <f>SUM(OSRRefT22_1x_0)</f>
        <v>124269.3538461538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-46592.363846153807</v>
      </c>
      <c r="Y29" s="1"/>
      <c r="Z29" s="5">
        <f t="shared" ref="Z29:Z39" si="15">IF(T29=0,0,X29/T29)</f>
        <v>-0.37493044265632403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>
        <v>13456.34</v>
      </c>
      <c r="E30" s="2"/>
      <c r="F30" s="7">
        <f t="shared" si="8"/>
        <v>0</v>
      </c>
      <c r="G30" s="2"/>
      <c r="H30" s="6">
        <v>18789.230769230799</v>
      </c>
      <c r="I30" s="2"/>
      <c r="J30" s="7">
        <f t="shared" si="9"/>
        <v>0</v>
      </c>
      <c r="K30" s="2"/>
      <c r="L30" s="6">
        <f t="shared" si="10"/>
        <v>-5332.8907692307985</v>
      </c>
      <c r="M30" s="2"/>
      <c r="N30" s="7">
        <f t="shared" si="11"/>
        <v>-0.28382698763612657</v>
      </c>
      <c r="O30" s="11"/>
      <c r="P30" s="6">
        <v>49874.31</v>
      </c>
      <c r="Q30" s="2"/>
      <c r="R30" s="7">
        <f t="shared" si="12"/>
        <v>0</v>
      </c>
      <c r="S30" s="2"/>
      <c r="T30" s="6">
        <v>93946.1538461538</v>
      </c>
      <c r="U30" s="2"/>
      <c r="V30" s="7">
        <f t="shared" si="13"/>
        <v>0</v>
      </c>
      <c r="W30" s="2"/>
      <c r="X30" s="6">
        <f t="shared" si="14"/>
        <v>-44071.843846153803</v>
      </c>
      <c r="Y30" s="2"/>
      <c r="Z30" s="7">
        <f t="shared" si="15"/>
        <v>-0.46911812822402332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6">
        <v>4073.87</v>
      </c>
      <c r="E31" s="2"/>
      <c r="F31" s="7">
        <f t="shared" si="8"/>
        <v>0</v>
      </c>
      <c r="G31" s="2"/>
      <c r="H31" s="6">
        <v>4665.1076923076898</v>
      </c>
      <c r="I31" s="2"/>
      <c r="J31" s="7">
        <f t="shared" si="9"/>
        <v>0</v>
      </c>
      <c r="K31" s="2"/>
      <c r="L31" s="6">
        <f t="shared" si="10"/>
        <v>-591.23769230768994</v>
      </c>
      <c r="M31" s="2"/>
      <c r="N31" s="7">
        <f t="shared" si="11"/>
        <v>-0.12673612943224946</v>
      </c>
      <c r="O31" s="11"/>
      <c r="P31" s="6">
        <v>27743.46</v>
      </c>
      <c r="Q31" s="2"/>
      <c r="R31" s="7">
        <f t="shared" si="12"/>
        <v>0</v>
      </c>
      <c r="S31" s="2"/>
      <c r="T31" s="6">
        <v>30323.200000000001</v>
      </c>
      <c r="U31" s="2"/>
      <c r="V31" s="7">
        <f t="shared" si="13"/>
        <v>0</v>
      </c>
      <c r="W31" s="2"/>
      <c r="X31" s="6">
        <f t="shared" si="14"/>
        <v>-2579.7400000000016</v>
      </c>
      <c r="Y31" s="2"/>
      <c r="Z31" s="7">
        <f t="shared" si="15"/>
        <v>-8.5074794216969229E-2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6">
        <v>59.22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59.22</v>
      </c>
      <c r="M36" s="2"/>
      <c r="N36" s="7">
        <f t="shared" si="11"/>
        <v>0</v>
      </c>
      <c r="O36" s="11"/>
      <c r="P36" s="6">
        <v>59.22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59.22</v>
      </c>
      <c r="Y36" s="2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1780.99</v>
      </c>
      <c r="E40" s="1"/>
      <c r="F40" s="5">
        <f t="shared" ref="F40:F57" si="16">IF(D$12=0,0,D40/D$12)</f>
        <v>0</v>
      </c>
      <c r="G40" s="1"/>
      <c r="H40" s="1">
        <f>SUM(OSRRefH22_2x_0)</f>
        <v>250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1530.99</v>
      </c>
      <c r="M40" s="1"/>
      <c r="N40" s="5">
        <f t="shared" ref="N40:N57" si="19">IF(H40=0,0,L40/H40)</f>
        <v>6.1239600000000003</v>
      </c>
      <c r="O40" s="14"/>
      <c r="P40" s="1">
        <f>SUM(OSRRefP22_2x_0)</f>
        <v>1967.41</v>
      </c>
      <c r="Q40" s="1"/>
      <c r="R40" s="5">
        <f t="shared" ref="R40:R57" si="20">IF(P$12=0,0,P40/P$12)</f>
        <v>0</v>
      </c>
      <c r="S40" s="1"/>
      <c r="T40" s="1">
        <f>SUM(OSRRefT22_2x_0)</f>
        <v>1100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867.41000000000008</v>
      </c>
      <c r="Y40" s="1"/>
      <c r="Z40" s="5">
        <f t="shared" ref="Z40:Z57" si="23">IF(T40=0,0,X40/T40)</f>
        <v>0.78855454545454551</v>
      </c>
    </row>
    <row r="41" spans="1:26" s="24" customFormat="1" hidden="1" outlineLevel="2" x14ac:dyDescent="0.3">
      <c r="A41" s="29"/>
      <c r="B41" s="11" t="str">
        <f>CONCATENATE("          ", "6362", " - ", "ADVERTISING EXPENSE")</f>
        <v xml:space="preserve">          6362 - ADVERTISING EXPENSE</v>
      </c>
      <c r="C41" s="11"/>
      <c r="D41" s="6">
        <v>1780.99</v>
      </c>
      <c r="E41" s="2"/>
      <c r="F41" s="7">
        <f t="shared" si="16"/>
        <v>0</v>
      </c>
      <c r="G41" s="2"/>
      <c r="H41" s="6">
        <v>250</v>
      </c>
      <c r="I41" s="2"/>
      <c r="J41" s="7">
        <f t="shared" si="17"/>
        <v>0</v>
      </c>
      <c r="K41" s="2"/>
      <c r="L41" s="6">
        <f t="shared" si="18"/>
        <v>1530.99</v>
      </c>
      <c r="M41" s="2"/>
      <c r="N41" s="7">
        <f t="shared" si="19"/>
        <v>6.1239600000000003</v>
      </c>
      <c r="O41" s="11"/>
      <c r="P41" s="6">
        <v>1967.41</v>
      </c>
      <c r="Q41" s="2"/>
      <c r="R41" s="7">
        <f t="shared" si="20"/>
        <v>0</v>
      </c>
      <c r="S41" s="2"/>
      <c r="T41" s="6">
        <v>1100</v>
      </c>
      <c r="U41" s="2"/>
      <c r="V41" s="7">
        <f t="shared" si="21"/>
        <v>0</v>
      </c>
      <c r="W41" s="2"/>
      <c r="X41" s="6">
        <f t="shared" si="22"/>
        <v>867.41000000000008</v>
      </c>
      <c r="Y41" s="2"/>
      <c r="Z41" s="7">
        <f t="shared" si="23"/>
        <v>0.78855454545454551</v>
      </c>
    </row>
    <row r="42" spans="1:26" s="28" customFormat="1" outlineLevel="1" collapsed="1" x14ac:dyDescent="0.3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314.87</v>
      </c>
      <c r="E42" s="1"/>
      <c r="F42" s="5">
        <f t="shared" si="16"/>
        <v>0</v>
      </c>
      <c r="G42" s="1"/>
      <c r="H42" s="1">
        <f>SUM(OSRRefH22_3x_0)</f>
        <v>315</v>
      </c>
      <c r="I42" s="1"/>
      <c r="J42" s="5">
        <f t="shared" si="17"/>
        <v>0</v>
      </c>
      <c r="K42" s="1"/>
      <c r="L42" s="1">
        <f t="shared" si="18"/>
        <v>-0.12999999999999545</v>
      </c>
      <c r="M42" s="1"/>
      <c r="N42" s="5">
        <f t="shared" si="19"/>
        <v>-4.1269841269839827E-4</v>
      </c>
      <c r="O42" s="14"/>
      <c r="P42" s="1">
        <f>SUM(OSRRefP22_3x_0)</f>
        <v>1889.22</v>
      </c>
      <c r="Q42" s="1"/>
      <c r="R42" s="5">
        <f t="shared" si="20"/>
        <v>0</v>
      </c>
      <c r="S42" s="1"/>
      <c r="T42" s="1">
        <f>SUM(OSRRefT22_3x_0)</f>
        <v>1890</v>
      </c>
      <c r="U42" s="1"/>
      <c r="V42" s="5">
        <f t="shared" si="21"/>
        <v>0</v>
      </c>
      <c r="W42" s="1"/>
      <c r="X42" s="1">
        <f t="shared" si="22"/>
        <v>-0.77999999999997272</v>
      </c>
      <c r="Y42" s="1"/>
      <c r="Z42" s="5">
        <f t="shared" si="23"/>
        <v>-4.1269841269839827E-4</v>
      </c>
    </row>
    <row r="43" spans="1:26" s="24" customFormat="1" hidden="1" outlineLevel="2" x14ac:dyDescent="0.3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314.87</v>
      </c>
      <c r="E43" s="2"/>
      <c r="F43" s="7">
        <f t="shared" si="16"/>
        <v>0</v>
      </c>
      <c r="G43" s="2"/>
      <c r="H43" s="6">
        <v>315</v>
      </c>
      <c r="I43" s="2"/>
      <c r="J43" s="7">
        <f t="shared" si="17"/>
        <v>0</v>
      </c>
      <c r="K43" s="2"/>
      <c r="L43" s="6">
        <f t="shared" si="18"/>
        <v>-0.12999999999999545</v>
      </c>
      <c r="M43" s="2"/>
      <c r="N43" s="7">
        <f t="shared" si="19"/>
        <v>-4.1269841269839827E-4</v>
      </c>
      <c r="O43" s="11"/>
      <c r="P43" s="6">
        <v>1889.22</v>
      </c>
      <c r="Q43" s="2"/>
      <c r="R43" s="7">
        <f t="shared" si="20"/>
        <v>0</v>
      </c>
      <c r="S43" s="2"/>
      <c r="T43" s="6">
        <v>1890</v>
      </c>
      <c r="U43" s="2"/>
      <c r="V43" s="7">
        <f t="shared" si="21"/>
        <v>0</v>
      </c>
      <c r="W43" s="2"/>
      <c r="X43" s="6">
        <f t="shared" si="22"/>
        <v>-0.77999999999997272</v>
      </c>
      <c r="Y43" s="2"/>
      <c r="Z43" s="7">
        <f t="shared" si="23"/>
        <v>-4.1269841269839827E-4</v>
      </c>
    </row>
    <row r="44" spans="1:26" s="28" customFormat="1" outlineLevel="1" collapsed="1" x14ac:dyDescent="0.3">
      <c r="A44" s="27"/>
      <c r="B44" s="14" t="str">
        <f>CONCATENATE("     ","Donations                                         ")</f>
        <v xml:space="preserve">     Donations                                         </v>
      </c>
      <c r="C44" s="14"/>
      <c r="D44" s="1">
        <f>SUM(OSRRefD22_4x_0)</f>
        <v>300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-1200</v>
      </c>
      <c r="M44" s="1"/>
      <c r="N44" s="5">
        <f t="shared" si="19"/>
        <v>-0.8</v>
      </c>
      <c r="O44" s="14"/>
      <c r="P44" s="1">
        <f>SUM(OSRRefP22_4x_0)</f>
        <v>25300</v>
      </c>
      <c r="Q44" s="1"/>
      <c r="R44" s="5">
        <f t="shared" si="20"/>
        <v>0</v>
      </c>
      <c r="S44" s="1"/>
      <c r="T44" s="1">
        <f>SUM(OSRRefT22_4x_0)</f>
        <v>42450</v>
      </c>
      <c r="U44" s="1"/>
      <c r="V44" s="5">
        <f t="shared" si="21"/>
        <v>0</v>
      </c>
      <c r="W44" s="1"/>
      <c r="X44" s="1">
        <f t="shared" si="22"/>
        <v>-17150</v>
      </c>
      <c r="Y44" s="1"/>
      <c r="Z44" s="5">
        <f t="shared" si="23"/>
        <v>-0.40400471142520611</v>
      </c>
    </row>
    <row r="45" spans="1:26" s="24" customFormat="1" hidden="1" outlineLevel="2" x14ac:dyDescent="0.3">
      <c r="A45" s="29"/>
      <c r="B45" s="11" t="str">
        <f>CONCATENATE("          ", "6399", " - ", "DONATION-ON CAMPUS")</f>
        <v xml:space="preserve">          6399 - DONATION-ON CAMPUS</v>
      </c>
      <c r="C45" s="11"/>
      <c r="D45" s="6">
        <v>300</v>
      </c>
      <c r="E45" s="2"/>
      <c r="F45" s="7">
        <f t="shared" si="16"/>
        <v>0</v>
      </c>
      <c r="G45" s="2"/>
      <c r="H45" s="6">
        <v>1500</v>
      </c>
      <c r="I45" s="2"/>
      <c r="J45" s="7">
        <f t="shared" si="17"/>
        <v>0</v>
      </c>
      <c r="K45" s="2"/>
      <c r="L45" s="6">
        <f t="shared" si="18"/>
        <v>-1200</v>
      </c>
      <c r="M45" s="2"/>
      <c r="N45" s="7">
        <f t="shared" si="19"/>
        <v>-0.8</v>
      </c>
      <c r="O45" s="11"/>
      <c r="P45" s="6">
        <v>25300</v>
      </c>
      <c r="Q45" s="2"/>
      <c r="R45" s="7">
        <f t="shared" si="20"/>
        <v>0</v>
      </c>
      <c r="S45" s="2"/>
      <c r="T45" s="6">
        <v>42450</v>
      </c>
      <c r="U45" s="2"/>
      <c r="V45" s="7">
        <f t="shared" si="21"/>
        <v>0</v>
      </c>
      <c r="W45" s="2"/>
      <c r="X45" s="6">
        <f t="shared" si="22"/>
        <v>-17150</v>
      </c>
      <c r="Y45" s="2"/>
      <c r="Z45" s="7">
        <f t="shared" si="23"/>
        <v>-0.40400471142520611</v>
      </c>
    </row>
    <row r="46" spans="1:26" s="28" customFormat="1" outlineLevel="1" collapsed="1" x14ac:dyDescent="0.3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3000</v>
      </c>
      <c r="I46" s="1"/>
      <c r="J46" s="5">
        <f t="shared" si="17"/>
        <v>0</v>
      </c>
      <c r="K46" s="1"/>
      <c r="L46" s="1">
        <f t="shared" si="18"/>
        <v>-3000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3000</v>
      </c>
      <c r="U46" s="1"/>
      <c r="V46" s="5">
        <f t="shared" si="21"/>
        <v>0</v>
      </c>
      <c r="W46" s="1"/>
      <c r="X46" s="1">
        <f t="shared" si="22"/>
        <v>-3000</v>
      </c>
      <c r="Y46" s="1"/>
      <c r="Z46" s="5">
        <f t="shared" si="23"/>
        <v>-1</v>
      </c>
    </row>
    <row r="47" spans="1:26" s="24" customFormat="1" hidden="1" outlineLevel="2" x14ac:dyDescent="0.3">
      <c r="A47" s="29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16"/>
        <v>0</v>
      </c>
      <c r="G47" s="2"/>
      <c r="H47" s="6">
        <v>3000</v>
      </c>
      <c r="I47" s="2"/>
      <c r="J47" s="7">
        <f t="shared" si="17"/>
        <v>0</v>
      </c>
      <c r="K47" s="2"/>
      <c r="L47" s="6">
        <f t="shared" si="18"/>
        <v>-3000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3000</v>
      </c>
      <c r="U47" s="2"/>
      <c r="V47" s="7">
        <f t="shared" si="21"/>
        <v>0</v>
      </c>
      <c r="W47" s="2"/>
      <c r="X47" s="6">
        <f t="shared" si="22"/>
        <v>-3000</v>
      </c>
      <c r="Y47" s="2"/>
      <c r="Z47" s="7">
        <f t="shared" si="23"/>
        <v>-1</v>
      </c>
    </row>
    <row r="48" spans="1:26" s="28" customFormat="1" outlineLevel="1" collapsed="1" x14ac:dyDescent="0.3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SUM(OSRRefD22_6x_0)</f>
        <v>117.71</v>
      </c>
      <c r="E48" s="1"/>
      <c r="F48" s="5">
        <f t="shared" si="16"/>
        <v>0</v>
      </c>
      <c r="G48" s="1"/>
      <c r="H48" s="1">
        <f>SUM(OSRRefH22_6x_0)</f>
        <v>118</v>
      </c>
      <c r="I48" s="1"/>
      <c r="J48" s="5">
        <f t="shared" si="17"/>
        <v>0</v>
      </c>
      <c r="K48" s="1"/>
      <c r="L48" s="1">
        <f t="shared" si="18"/>
        <v>-0.29000000000000625</v>
      </c>
      <c r="M48" s="1"/>
      <c r="N48" s="5">
        <f t="shared" si="19"/>
        <v>-2.457627118644121E-3</v>
      </c>
      <c r="O48" s="14"/>
      <c r="P48" s="1">
        <f>SUM(OSRRefP22_6x_0)</f>
        <v>706.26</v>
      </c>
      <c r="Q48" s="1"/>
      <c r="R48" s="5">
        <f t="shared" si="20"/>
        <v>0</v>
      </c>
      <c r="S48" s="1"/>
      <c r="T48" s="1">
        <f>SUM(OSRRefT22_6x_0)</f>
        <v>708</v>
      </c>
      <c r="U48" s="1"/>
      <c r="V48" s="5">
        <f t="shared" si="21"/>
        <v>0</v>
      </c>
      <c r="W48" s="1"/>
      <c r="X48" s="1">
        <f t="shared" si="22"/>
        <v>-1.7400000000000091</v>
      </c>
      <c r="Y48" s="1"/>
      <c r="Z48" s="5">
        <f t="shared" si="23"/>
        <v>-2.4576271186440807E-3</v>
      </c>
    </row>
    <row r="49" spans="1:26" s="24" customFormat="1" hidden="1" outlineLevel="2" x14ac:dyDescent="0.3">
      <c r="A49" s="29"/>
      <c r="B49" s="11" t="str">
        <f>CONCATENATE("          ", "6351", " - ", "EQUIPMENT RENTAL")</f>
        <v xml:space="preserve">          6351 - EQUIPMENT RENTAL</v>
      </c>
      <c r="C49" s="11"/>
      <c r="D49" s="6">
        <v>117.71</v>
      </c>
      <c r="E49" s="2"/>
      <c r="F49" s="7">
        <f t="shared" si="16"/>
        <v>0</v>
      </c>
      <c r="G49" s="2"/>
      <c r="H49" s="6">
        <v>118</v>
      </c>
      <c r="I49" s="2"/>
      <c r="J49" s="7">
        <f t="shared" si="17"/>
        <v>0</v>
      </c>
      <c r="K49" s="2"/>
      <c r="L49" s="6">
        <f t="shared" si="18"/>
        <v>-0.29000000000000625</v>
      </c>
      <c r="M49" s="2"/>
      <c r="N49" s="7">
        <f t="shared" si="19"/>
        <v>-2.457627118644121E-3</v>
      </c>
      <c r="O49" s="11"/>
      <c r="P49" s="6">
        <v>706.26</v>
      </c>
      <c r="Q49" s="2"/>
      <c r="R49" s="7">
        <f t="shared" si="20"/>
        <v>0</v>
      </c>
      <c r="S49" s="2"/>
      <c r="T49" s="6">
        <v>708</v>
      </c>
      <c r="U49" s="2"/>
      <c r="V49" s="7">
        <f t="shared" si="21"/>
        <v>0</v>
      </c>
      <c r="W49" s="2"/>
      <c r="X49" s="6">
        <f t="shared" si="22"/>
        <v>-1.7400000000000091</v>
      </c>
      <c r="Y49" s="2"/>
      <c r="Z49" s="7">
        <f t="shared" si="23"/>
        <v>-2.4576271186440807E-3</v>
      </c>
    </row>
    <row r="50" spans="1:26" s="28" customFormat="1" outlineLevel="1" collapsed="1" x14ac:dyDescent="0.3">
      <c r="A50" s="27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100</v>
      </c>
      <c r="I50" s="1"/>
      <c r="J50" s="5">
        <f t="shared" si="17"/>
        <v>0</v>
      </c>
      <c r="K50" s="1"/>
      <c r="L50" s="1">
        <f t="shared" si="18"/>
        <v>-100</v>
      </c>
      <c r="M50" s="1"/>
      <c r="N50" s="5">
        <f t="shared" si="19"/>
        <v>-1</v>
      </c>
      <c r="O50" s="14"/>
      <c r="P50" s="1">
        <f>SUM(OSRRefP22_7x_0)</f>
        <v>29.52</v>
      </c>
      <c r="Q50" s="1"/>
      <c r="R50" s="5">
        <f t="shared" si="20"/>
        <v>0</v>
      </c>
      <c r="S50" s="1"/>
      <c r="T50" s="1">
        <f>SUM(OSRRefT22_7x_0)</f>
        <v>525</v>
      </c>
      <c r="U50" s="1"/>
      <c r="V50" s="5">
        <f t="shared" si="21"/>
        <v>0</v>
      </c>
      <c r="W50" s="1"/>
      <c r="X50" s="1">
        <f t="shared" si="22"/>
        <v>-495.48</v>
      </c>
      <c r="Y50" s="1"/>
      <c r="Z50" s="5">
        <f t="shared" si="23"/>
        <v>-0.94377142857142859</v>
      </c>
    </row>
    <row r="51" spans="1:26" s="24" customFormat="1" hidden="1" outlineLevel="2" x14ac:dyDescent="0.3">
      <c r="A51" s="29"/>
      <c r="B51" s="11" t="str">
        <f>CONCATENATE("          ", "6307", " - ", "POSTAGE")</f>
        <v xml:space="preserve">          6307 - POSTAGE</v>
      </c>
      <c r="C51" s="11"/>
      <c r="D51" s="6"/>
      <c r="E51" s="2"/>
      <c r="F51" s="7">
        <f t="shared" si="16"/>
        <v>0</v>
      </c>
      <c r="G51" s="2"/>
      <c r="H51" s="6">
        <v>100</v>
      </c>
      <c r="I51" s="2"/>
      <c r="J51" s="7">
        <f t="shared" si="17"/>
        <v>0</v>
      </c>
      <c r="K51" s="2"/>
      <c r="L51" s="6">
        <f t="shared" si="18"/>
        <v>-100</v>
      </c>
      <c r="M51" s="2"/>
      <c r="N51" s="7">
        <f t="shared" si="19"/>
        <v>-1</v>
      </c>
      <c r="O51" s="11"/>
      <c r="P51" s="6">
        <v>29.52</v>
      </c>
      <c r="Q51" s="2"/>
      <c r="R51" s="7">
        <f t="shared" si="20"/>
        <v>0</v>
      </c>
      <c r="S51" s="2"/>
      <c r="T51" s="6">
        <v>525</v>
      </c>
      <c r="U51" s="2"/>
      <c r="V51" s="7">
        <f t="shared" si="21"/>
        <v>0</v>
      </c>
      <c r="W51" s="2"/>
      <c r="X51" s="6">
        <f t="shared" si="22"/>
        <v>-495.48</v>
      </c>
      <c r="Y51" s="2"/>
      <c r="Z51" s="7">
        <f t="shared" si="23"/>
        <v>-0.94377142857142859</v>
      </c>
    </row>
    <row r="52" spans="1:26" s="28" customFormat="1" outlineLevel="1" collapsed="1" x14ac:dyDescent="0.3">
      <c r="A52" s="27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SUM(OSRRefD22_8x_0)</f>
        <v>156.47999999999999</v>
      </c>
      <c r="E52" s="1"/>
      <c r="F52" s="5">
        <f t="shared" si="16"/>
        <v>0</v>
      </c>
      <c r="G52" s="1"/>
      <c r="H52" s="1">
        <f>SUM(OSRRefH22_8x_0)</f>
        <v>150</v>
      </c>
      <c r="I52" s="1"/>
      <c r="J52" s="5">
        <f t="shared" si="17"/>
        <v>0</v>
      </c>
      <c r="K52" s="1"/>
      <c r="L52" s="1">
        <f t="shared" si="18"/>
        <v>6.4799999999999898</v>
      </c>
      <c r="M52" s="1"/>
      <c r="N52" s="5">
        <f t="shared" si="19"/>
        <v>4.3199999999999933E-2</v>
      </c>
      <c r="O52" s="14"/>
      <c r="P52" s="1">
        <f>SUM(OSRRefP22_8x_0)</f>
        <v>938.88</v>
      </c>
      <c r="Q52" s="1"/>
      <c r="R52" s="5">
        <f t="shared" si="20"/>
        <v>0</v>
      </c>
      <c r="S52" s="1"/>
      <c r="T52" s="1">
        <f>SUM(OSRRefT22_8x_0)</f>
        <v>900</v>
      </c>
      <c r="U52" s="1"/>
      <c r="V52" s="5">
        <f t="shared" si="21"/>
        <v>0</v>
      </c>
      <c r="W52" s="1"/>
      <c r="X52" s="1">
        <f t="shared" si="22"/>
        <v>38.879999999999995</v>
      </c>
      <c r="Y52" s="1"/>
      <c r="Z52" s="5">
        <f t="shared" si="23"/>
        <v>4.3199999999999995E-2</v>
      </c>
    </row>
    <row r="53" spans="1:26" s="24" customFormat="1" hidden="1" outlineLevel="2" x14ac:dyDescent="0.3">
      <c r="A53" s="29"/>
      <c r="B53" s="11" t="str">
        <f>CONCATENATE("          ", "6314", " - ", "LIABILITY INSURANCE")</f>
        <v xml:space="preserve">          6314 - LIABILITY INSURANCE</v>
      </c>
      <c r="C53" s="11"/>
      <c r="D53" s="6">
        <v>156.47999999999999</v>
      </c>
      <c r="E53" s="2"/>
      <c r="F53" s="7">
        <f t="shared" si="16"/>
        <v>0</v>
      </c>
      <c r="G53" s="2"/>
      <c r="H53" s="6">
        <v>150</v>
      </c>
      <c r="I53" s="2"/>
      <c r="J53" s="7">
        <f t="shared" si="17"/>
        <v>0</v>
      </c>
      <c r="K53" s="2"/>
      <c r="L53" s="6">
        <f t="shared" si="18"/>
        <v>6.4799999999999898</v>
      </c>
      <c r="M53" s="2"/>
      <c r="N53" s="7">
        <f t="shared" si="19"/>
        <v>4.3199999999999933E-2</v>
      </c>
      <c r="O53" s="11"/>
      <c r="P53" s="6">
        <v>938.88</v>
      </c>
      <c r="Q53" s="2"/>
      <c r="R53" s="7">
        <f t="shared" si="20"/>
        <v>0</v>
      </c>
      <c r="S53" s="2"/>
      <c r="T53" s="6">
        <v>900</v>
      </c>
      <c r="U53" s="2"/>
      <c r="V53" s="7">
        <f t="shared" si="21"/>
        <v>0</v>
      </c>
      <c r="W53" s="2"/>
      <c r="X53" s="6">
        <f t="shared" si="22"/>
        <v>38.879999999999995</v>
      </c>
      <c r="Y53" s="2"/>
      <c r="Z53" s="7">
        <f t="shared" si="23"/>
        <v>4.3199999999999995E-2</v>
      </c>
    </row>
    <row r="54" spans="1:26" s="28" customFormat="1" outlineLevel="1" collapsed="1" x14ac:dyDescent="0.3">
      <c r="A54" s="27"/>
      <c r="B54" s="14" t="str">
        <f>CONCATENATE("     ","Professional Services                             ")</f>
        <v xml:space="preserve">     Professional Services                             </v>
      </c>
      <c r="C54" s="14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3000</v>
      </c>
      <c r="I54" s="1"/>
      <c r="J54" s="5">
        <f t="shared" si="17"/>
        <v>0</v>
      </c>
      <c r="K54" s="1"/>
      <c r="L54" s="1">
        <f t="shared" si="18"/>
        <v>-3000</v>
      </c>
      <c r="M54" s="1"/>
      <c r="N54" s="5">
        <f t="shared" si="19"/>
        <v>-1</v>
      </c>
      <c r="O54" s="14"/>
      <c r="P54" s="1">
        <f>SUM(OSRRefP22_9x_0)</f>
        <v>51875</v>
      </c>
      <c r="Q54" s="1"/>
      <c r="R54" s="5">
        <f t="shared" si="20"/>
        <v>0</v>
      </c>
      <c r="S54" s="1"/>
      <c r="T54" s="1">
        <f>SUM(OSRRefT22_9x_0)</f>
        <v>56500</v>
      </c>
      <c r="U54" s="1"/>
      <c r="V54" s="5">
        <f t="shared" si="21"/>
        <v>0</v>
      </c>
      <c r="W54" s="1"/>
      <c r="X54" s="1">
        <f t="shared" si="22"/>
        <v>-4625</v>
      </c>
      <c r="Y54" s="1"/>
      <c r="Z54" s="5">
        <f t="shared" si="23"/>
        <v>-8.185840707964602E-2</v>
      </c>
    </row>
    <row r="55" spans="1:26" s="24" customFormat="1" hidden="1" outlineLevel="2" x14ac:dyDescent="0.3">
      <c r="A55" s="29"/>
      <c r="B55" s="11" t="str">
        <f>CONCATENATE("          ", "6331", " - ", "INDIRECT COSTS-AUXILIARY ORGAN")</f>
        <v xml:space="preserve">          6331 - INDIRECT COSTS-AUXILIARY ORGAN</v>
      </c>
      <c r="C55" s="11"/>
      <c r="D55" s="6"/>
      <c r="E55" s="2"/>
      <c r="F55" s="7">
        <f t="shared" si="16"/>
        <v>0</v>
      </c>
      <c r="G55" s="2"/>
      <c r="H55" s="6">
        <v>3000</v>
      </c>
      <c r="I55" s="2"/>
      <c r="J55" s="7">
        <f t="shared" si="17"/>
        <v>0</v>
      </c>
      <c r="K55" s="2"/>
      <c r="L55" s="6">
        <f t="shared" si="18"/>
        <v>-3000</v>
      </c>
      <c r="M55" s="2"/>
      <c r="N55" s="7">
        <f t="shared" si="19"/>
        <v>-1</v>
      </c>
      <c r="O55" s="11"/>
      <c r="P55" s="6">
        <v>48350</v>
      </c>
      <c r="Q55" s="2"/>
      <c r="R55" s="7">
        <f t="shared" si="20"/>
        <v>0</v>
      </c>
      <c r="S55" s="2"/>
      <c r="T55" s="6">
        <v>49000</v>
      </c>
      <c r="U55" s="2"/>
      <c r="V55" s="7">
        <f t="shared" si="21"/>
        <v>0</v>
      </c>
      <c r="W55" s="2"/>
      <c r="X55" s="6">
        <f t="shared" si="22"/>
        <v>-650</v>
      </c>
      <c r="Y55" s="2"/>
      <c r="Z55" s="7">
        <f t="shared" si="23"/>
        <v>-1.3265306122448979E-2</v>
      </c>
    </row>
    <row r="56" spans="1:26" s="24" customFormat="1" hidden="1" outlineLevel="2" x14ac:dyDescent="0.3">
      <c r="A56" s="29"/>
      <c r="B56" s="11" t="str">
        <f>CONCATENATE("          ", "6334", " - ", "LEGAL COUNCIL EXPENSE")</f>
        <v xml:space="preserve">          6334 - LEGAL COUNCIL EXPENSE</v>
      </c>
      <c r="C56" s="11"/>
      <c r="D56" s="6"/>
      <c r="E56" s="2"/>
      <c r="F56" s="7">
        <f t="shared" si="16"/>
        <v>0</v>
      </c>
      <c r="G56" s="2"/>
      <c r="H56" s="6"/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>
        <v>200</v>
      </c>
      <c r="Q56" s="2"/>
      <c r="R56" s="7">
        <f t="shared" si="20"/>
        <v>0</v>
      </c>
      <c r="S56" s="2"/>
      <c r="T56" s="6">
        <v>2500</v>
      </c>
      <c r="U56" s="2"/>
      <c r="V56" s="7">
        <f t="shared" si="21"/>
        <v>0</v>
      </c>
      <c r="W56" s="2"/>
      <c r="X56" s="6">
        <f t="shared" si="22"/>
        <v>-2300</v>
      </c>
      <c r="Y56" s="2"/>
      <c r="Z56" s="7">
        <f t="shared" si="23"/>
        <v>-0.92</v>
      </c>
    </row>
    <row r="57" spans="1:26" s="24" customFormat="1" hidden="1" outlineLevel="2" x14ac:dyDescent="0.3">
      <c r="A57" s="29"/>
      <c r="B57" s="11" t="str">
        <f>CONCATENATE("          ", "6336", " - ", "PROFESSIONAL SERVICES")</f>
        <v xml:space="preserve">          6336 - PROFESSIONAL SERVICES</v>
      </c>
      <c r="C57" s="11"/>
      <c r="D57" s="6"/>
      <c r="E57" s="2"/>
      <c r="F57" s="7">
        <f t="shared" si="16"/>
        <v>0</v>
      </c>
      <c r="G57" s="2"/>
      <c r="H57" s="6"/>
      <c r="I57" s="2"/>
      <c r="J57" s="7">
        <f t="shared" si="17"/>
        <v>0</v>
      </c>
      <c r="K57" s="2"/>
      <c r="L57" s="6">
        <f t="shared" si="18"/>
        <v>0</v>
      </c>
      <c r="M57" s="2"/>
      <c r="N57" s="7">
        <f t="shared" si="19"/>
        <v>0</v>
      </c>
      <c r="O57" s="11"/>
      <c r="P57" s="6">
        <v>3325</v>
      </c>
      <c r="Q57" s="2"/>
      <c r="R57" s="7">
        <f t="shared" si="20"/>
        <v>0</v>
      </c>
      <c r="S57" s="2"/>
      <c r="T57" s="6">
        <v>5000</v>
      </c>
      <c r="U57" s="2"/>
      <c r="V57" s="7">
        <f t="shared" si="21"/>
        <v>0</v>
      </c>
      <c r="W57" s="2"/>
      <c r="X57" s="6">
        <f t="shared" si="22"/>
        <v>-1675</v>
      </c>
      <c r="Y57" s="2"/>
      <c r="Z57" s="7">
        <f t="shared" si="23"/>
        <v>-0.33500000000000002</v>
      </c>
    </row>
    <row r="58" spans="1:26" s="28" customFormat="1" outlineLevel="1" collapsed="1" x14ac:dyDescent="0.3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SUM(OSRRefD22_10x_0)</f>
        <v>93.74</v>
      </c>
      <c r="E58" s="1"/>
      <c r="F58" s="5">
        <f t="shared" ref="F58:F60" si="24">IF(D$12=0,0,D58/D$12)</f>
        <v>0</v>
      </c>
      <c r="G58" s="1"/>
      <c r="H58" s="1">
        <f>SUM(OSRRefH22_10x_0)</f>
        <v>1530</v>
      </c>
      <c r="I58" s="1"/>
      <c r="J58" s="5">
        <f t="shared" ref="J58:J60" si="25">IF(H$12=0,0,H58/H$12)</f>
        <v>0</v>
      </c>
      <c r="K58" s="1"/>
      <c r="L58" s="1">
        <f t="shared" ref="L58:L60" si="26">+D58-H58</f>
        <v>-1436.26</v>
      </c>
      <c r="M58" s="1"/>
      <c r="N58" s="5">
        <f t="shared" ref="N58:N60" si="27">IF(H58=0,0,L58/H58)</f>
        <v>-0.93873202614379081</v>
      </c>
      <c r="O58" s="14"/>
      <c r="P58" s="1">
        <f>SUM(OSRRefP22_10x_0)</f>
        <v>10715.32</v>
      </c>
      <c r="Q58" s="1"/>
      <c r="R58" s="5">
        <f t="shared" ref="R58:R60" si="28">IF(P$12=0,0,P58/P$12)</f>
        <v>0</v>
      </c>
      <c r="S58" s="1"/>
      <c r="T58" s="1">
        <f>SUM(OSRRefT22_10x_0)</f>
        <v>9180</v>
      </c>
      <c r="U58" s="1"/>
      <c r="V58" s="5">
        <f t="shared" ref="V58:V60" si="29">IF(T$12=0,0,T58/T$12)</f>
        <v>0</v>
      </c>
      <c r="W58" s="1"/>
      <c r="X58" s="1">
        <f t="shared" ref="X58:X60" si="30">+P58-T58</f>
        <v>1535.3199999999997</v>
      </c>
      <c r="Y58" s="1"/>
      <c r="Z58" s="5">
        <f t="shared" ref="Z58:Z60" si="31">IF(T58=0,0,X58/T58)</f>
        <v>0.1672461873638344</v>
      </c>
    </row>
    <row r="59" spans="1:26" s="24" customFormat="1" hidden="1" outlineLevel="2" x14ac:dyDescent="0.3">
      <c r="A59" s="29"/>
      <c r="B59" s="11" t="str">
        <f>CONCATENATE("          ", "6373", " - ", "MAINTENANCE CONTRACTS")</f>
        <v xml:space="preserve">          6373 - MAINTENANCE CONTRACTS</v>
      </c>
      <c r="C59" s="11"/>
      <c r="D59" s="6">
        <v>93.74</v>
      </c>
      <c r="E59" s="2"/>
      <c r="F59" s="7">
        <f t="shared" si="24"/>
        <v>0</v>
      </c>
      <c r="G59" s="2"/>
      <c r="H59" s="6">
        <v>1530</v>
      </c>
      <c r="I59" s="2"/>
      <c r="J59" s="7">
        <f t="shared" si="25"/>
        <v>0</v>
      </c>
      <c r="K59" s="2"/>
      <c r="L59" s="6">
        <f t="shared" si="26"/>
        <v>-1436.26</v>
      </c>
      <c r="M59" s="2"/>
      <c r="N59" s="7">
        <f t="shared" si="27"/>
        <v>-0.93873202614379081</v>
      </c>
      <c r="O59" s="11"/>
      <c r="P59" s="6">
        <v>10617.33</v>
      </c>
      <c r="Q59" s="2"/>
      <c r="R59" s="7">
        <f t="shared" si="28"/>
        <v>0</v>
      </c>
      <c r="S59" s="2"/>
      <c r="T59" s="6">
        <v>9180</v>
      </c>
      <c r="U59" s="2"/>
      <c r="V59" s="7">
        <f t="shared" si="29"/>
        <v>0</v>
      </c>
      <c r="W59" s="2"/>
      <c r="X59" s="6">
        <f t="shared" si="30"/>
        <v>1437.33</v>
      </c>
      <c r="Y59" s="2"/>
      <c r="Z59" s="7">
        <f t="shared" si="31"/>
        <v>0.1565718954248366</v>
      </c>
    </row>
    <row r="60" spans="1:26" s="24" customFormat="1" hidden="1" outlineLevel="2" x14ac:dyDescent="0.3">
      <c r="A60" s="29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97.99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97.99</v>
      </c>
      <c r="Y60" s="2"/>
      <c r="Z60" s="7">
        <f t="shared" si="31"/>
        <v>0</v>
      </c>
    </row>
    <row r="61" spans="1:26" s="28" customFormat="1" outlineLevel="1" collapsed="1" x14ac:dyDescent="0.3">
      <c r="A61" s="27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SUM(OSRRefD22_11x_0)</f>
        <v>0</v>
      </c>
      <c r="E61" s="1"/>
      <c r="F61" s="5">
        <f t="shared" ref="F61:F65" si="32">IF(D$12=0,0,D61/D$12)</f>
        <v>0</v>
      </c>
      <c r="G61" s="1"/>
      <c r="H61" s="1">
        <f>SUM(OSRRefH22_11x_0)</f>
        <v>0</v>
      </c>
      <c r="I61" s="1"/>
      <c r="J61" s="5">
        <f t="shared" ref="J61:J65" si="33">IF(H$12=0,0,H61/H$12)</f>
        <v>0</v>
      </c>
      <c r="K61" s="1"/>
      <c r="L61" s="1">
        <f t="shared" ref="L61:L65" si="34">+D61-H61</f>
        <v>0</v>
      </c>
      <c r="M61" s="1"/>
      <c r="N61" s="5">
        <f t="shared" ref="N61:N65" si="35">IF(H61=0,0,L61/H61)</f>
        <v>0</v>
      </c>
      <c r="O61" s="14"/>
      <c r="P61" s="1">
        <f>SUM(OSRRefP22_11x_0)</f>
        <v>1000</v>
      </c>
      <c r="Q61" s="1"/>
      <c r="R61" s="5">
        <f t="shared" ref="R61:R65" si="36">IF(P$12=0,0,P61/P$12)</f>
        <v>0</v>
      </c>
      <c r="S61" s="1"/>
      <c r="T61" s="1">
        <f>SUM(OSRRefT22_11x_0)</f>
        <v>1975</v>
      </c>
      <c r="U61" s="1"/>
      <c r="V61" s="5">
        <f t="shared" ref="V61:V65" si="37">IF(T$12=0,0,T61/T$12)</f>
        <v>0</v>
      </c>
      <c r="W61" s="1"/>
      <c r="X61" s="1">
        <f t="shared" ref="X61:X65" si="38">+P61-T61</f>
        <v>-975</v>
      </c>
      <c r="Y61" s="1"/>
      <c r="Z61" s="5">
        <f t="shared" ref="Z61:Z65" si="39">IF(T61=0,0,X61/T61)</f>
        <v>-0.49367088607594939</v>
      </c>
    </row>
    <row r="62" spans="1:26" s="24" customFormat="1" hidden="1" outlineLevel="2" x14ac:dyDescent="0.3">
      <c r="A62" s="29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1000</v>
      </c>
      <c r="Q62" s="2"/>
      <c r="R62" s="7">
        <f t="shared" si="36"/>
        <v>0</v>
      </c>
      <c r="S62" s="2"/>
      <c r="T62" s="6">
        <v>1975</v>
      </c>
      <c r="U62" s="2"/>
      <c r="V62" s="7">
        <f t="shared" si="37"/>
        <v>0</v>
      </c>
      <c r="W62" s="2"/>
      <c r="X62" s="6">
        <f t="shared" si="38"/>
        <v>-975</v>
      </c>
      <c r="Y62" s="2"/>
      <c r="Z62" s="7">
        <f t="shared" si="39"/>
        <v>-0.49367088607594939</v>
      </c>
    </row>
    <row r="63" spans="1:26" s="28" customFormat="1" outlineLevel="1" collapsed="1" x14ac:dyDescent="0.3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27.3</v>
      </c>
      <c r="E63" s="1"/>
      <c r="F63" s="5">
        <f t="shared" si="32"/>
        <v>0</v>
      </c>
      <c r="G63" s="1"/>
      <c r="H63" s="1">
        <f>SUM(OSRRefH22_12x_0)</f>
        <v>125</v>
      </c>
      <c r="I63" s="1"/>
      <c r="J63" s="5">
        <f t="shared" si="33"/>
        <v>0</v>
      </c>
      <c r="K63" s="1"/>
      <c r="L63" s="1">
        <f t="shared" si="34"/>
        <v>-97.7</v>
      </c>
      <c r="M63" s="1"/>
      <c r="N63" s="5">
        <f t="shared" si="35"/>
        <v>-0.78160000000000007</v>
      </c>
      <c r="O63" s="14"/>
      <c r="P63" s="1">
        <f>SUM(OSRRefP22_12x_0)</f>
        <v>369.46</v>
      </c>
      <c r="Q63" s="1"/>
      <c r="R63" s="5">
        <f t="shared" si="36"/>
        <v>0</v>
      </c>
      <c r="S63" s="1"/>
      <c r="T63" s="1">
        <f>SUM(OSRRefT22_12x_0)</f>
        <v>750</v>
      </c>
      <c r="U63" s="1"/>
      <c r="V63" s="5">
        <f t="shared" si="37"/>
        <v>0</v>
      </c>
      <c r="W63" s="1"/>
      <c r="X63" s="1">
        <f t="shared" si="38"/>
        <v>-380.54</v>
      </c>
      <c r="Y63" s="1"/>
      <c r="Z63" s="5">
        <f t="shared" si="39"/>
        <v>-0.50738666666666665</v>
      </c>
    </row>
    <row r="64" spans="1:26" s="24" customFormat="1" hidden="1" outlineLevel="2" x14ac:dyDescent="0.3">
      <c r="A64" s="29"/>
      <c r="B64" s="11" t="str">
        <f>CONCATENATE("          ", "6234", " - ", "EXPENDABLE SUPPLIES &amp; EQUIPMEN")</f>
        <v xml:space="preserve">          6234 - EXPENDABLE SUPPLIES &amp; EQUIPMEN</v>
      </c>
      <c r="C64" s="11"/>
      <c r="D64" s="6"/>
      <c r="E64" s="2"/>
      <c r="F64" s="7">
        <f t="shared" si="32"/>
        <v>0</v>
      </c>
      <c r="G64" s="2"/>
      <c r="H64" s="6">
        <v>125</v>
      </c>
      <c r="I64" s="2"/>
      <c r="J64" s="7">
        <f t="shared" si="33"/>
        <v>0</v>
      </c>
      <c r="K64" s="2"/>
      <c r="L64" s="6">
        <f t="shared" si="34"/>
        <v>-125</v>
      </c>
      <c r="M64" s="2"/>
      <c r="N64" s="7">
        <f t="shared" si="35"/>
        <v>-1</v>
      </c>
      <c r="O64" s="11"/>
      <c r="P64" s="6"/>
      <c r="Q64" s="2"/>
      <c r="R64" s="7">
        <f t="shared" si="36"/>
        <v>0</v>
      </c>
      <c r="S64" s="2"/>
      <c r="T64" s="6">
        <v>750</v>
      </c>
      <c r="U64" s="2"/>
      <c r="V64" s="7">
        <f t="shared" si="37"/>
        <v>0</v>
      </c>
      <c r="W64" s="2"/>
      <c r="X64" s="6">
        <f t="shared" si="38"/>
        <v>-750</v>
      </c>
      <c r="Y64" s="2"/>
      <c r="Z64" s="7">
        <f t="shared" si="39"/>
        <v>-1</v>
      </c>
    </row>
    <row r="65" spans="1:26" s="24" customFormat="1" hidden="1" outlineLevel="2" x14ac:dyDescent="0.3">
      <c r="A65" s="29"/>
      <c r="B65" s="11" t="str">
        <f>CONCATENATE("          ", "6241", " - ", "OFFICE EXPENSE")</f>
        <v xml:space="preserve">          6241 - OFFICE EXPENSE</v>
      </c>
      <c r="C65" s="11"/>
      <c r="D65" s="6">
        <v>27.3</v>
      </c>
      <c r="E65" s="2"/>
      <c r="F65" s="7">
        <f t="shared" si="32"/>
        <v>0</v>
      </c>
      <c r="G65" s="2"/>
      <c r="H65" s="6"/>
      <c r="I65" s="2"/>
      <c r="J65" s="7">
        <f t="shared" si="33"/>
        <v>0</v>
      </c>
      <c r="K65" s="2"/>
      <c r="L65" s="6">
        <f t="shared" si="34"/>
        <v>27.3</v>
      </c>
      <c r="M65" s="2"/>
      <c r="N65" s="7">
        <f t="shared" si="35"/>
        <v>0</v>
      </c>
      <c r="O65" s="11"/>
      <c r="P65" s="6">
        <v>369.46</v>
      </c>
      <c r="Q65" s="2"/>
      <c r="R65" s="7">
        <f t="shared" si="36"/>
        <v>0</v>
      </c>
      <c r="S65" s="2"/>
      <c r="T65" s="6"/>
      <c r="U65" s="2"/>
      <c r="V65" s="7">
        <f t="shared" si="37"/>
        <v>0</v>
      </c>
      <c r="W65" s="2"/>
      <c r="X65" s="6">
        <f t="shared" si="38"/>
        <v>369.46</v>
      </c>
      <c r="Y65" s="2"/>
      <c r="Z65" s="7">
        <f t="shared" si="39"/>
        <v>0</v>
      </c>
    </row>
    <row r="66" spans="1:26" s="28" customFormat="1" outlineLevel="1" collapsed="1" x14ac:dyDescent="0.3">
      <c r="A66" s="27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SUM(OSRRefD22_13x_0)</f>
        <v>361.64</v>
      </c>
      <c r="E66" s="1"/>
      <c r="F66" s="5">
        <f t="shared" ref="F66:F71" si="40">IF(D$12=0,0,D66/D$12)</f>
        <v>0</v>
      </c>
      <c r="G66" s="1"/>
      <c r="H66" s="1">
        <f>SUM(OSRRefH22_13x_0)</f>
        <v>425</v>
      </c>
      <c r="I66" s="1"/>
      <c r="J66" s="5">
        <f t="shared" ref="J66:J71" si="41">IF(H$12=0,0,H66/H$12)</f>
        <v>0</v>
      </c>
      <c r="K66" s="1"/>
      <c r="L66" s="1">
        <f t="shared" ref="L66:L71" si="42">+D66-H66</f>
        <v>-63.360000000000014</v>
      </c>
      <c r="M66" s="1"/>
      <c r="N66" s="5">
        <f t="shared" ref="N66:N71" si="43">IF(H66=0,0,L66/H66)</f>
        <v>-0.1490823529411765</v>
      </c>
      <c r="O66" s="14"/>
      <c r="P66" s="1">
        <f>SUM(OSRRefP22_13x_0)</f>
        <v>2668.2</v>
      </c>
      <c r="Q66" s="1"/>
      <c r="R66" s="5">
        <f t="shared" ref="R66:R71" si="44">IF(P$12=0,0,P66/P$12)</f>
        <v>0</v>
      </c>
      <c r="S66" s="1"/>
      <c r="T66" s="1">
        <f>SUM(OSRRefT22_13x_0)</f>
        <v>2550</v>
      </c>
      <c r="U66" s="1"/>
      <c r="V66" s="5">
        <f t="shared" ref="V66:V71" si="45">IF(T$12=0,0,T66/T$12)</f>
        <v>0</v>
      </c>
      <c r="W66" s="1"/>
      <c r="X66" s="1">
        <f t="shared" ref="X66:X71" si="46">+P66-T66</f>
        <v>118.19999999999982</v>
      </c>
      <c r="Y66" s="1"/>
      <c r="Z66" s="5">
        <f t="shared" ref="Z66:Z71" si="47">IF(T66=0,0,X66/T66)</f>
        <v>4.6352941176470513E-2</v>
      </c>
    </row>
    <row r="67" spans="1:26" s="24" customFormat="1" hidden="1" outlineLevel="2" x14ac:dyDescent="0.3">
      <c r="A67" s="29"/>
      <c r="B67" s="11" t="str">
        <f>CONCATENATE("          ", "6309", " - ", "TELEPHONE")</f>
        <v xml:space="preserve">          6309 - TELEPHONE</v>
      </c>
      <c r="C67" s="11"/>
      <c r="D67" s="6">
        <v>361.64</v>
      </c>
      <c r="E67" s="2"/>
      <c r="F67" s="7">
        <f t="shared" si="40"/>
        <v>0</v>
      </c>
      <c r="G67" s="2"/>
      <c r="H67" s="6">
        <v>425</v>
      </c>
      <c r="I67" s="2"/>
      <c r="J67" s="7">
        <f t="shared" si="41"/>
        <v>0</v>
      </c>
      <c r="K67" s="2"/>
      <c r="L67" s="6">
        <f t="shared" si="42"/>
        <v>-63.360000000000014</v>
      </c>
      <c r="M67" s="2"/>
      <c r="N67" s="7">
        <f t="shared" si="43"/>
        <v>-0.1490823529411765</v>
      </c>
      <c r="O67" s="11"/>
      <c r="P67" s="6">
        <v>2668.2</v>
      </c>
      <c r="Q67" s="2"/>
      <c r="R67" s="7">
        <f t="shared" si="44"/>
        <v>0</v>
      </c>
      <c r="S67" s="2"/>
      <c r="T67" s="6">
        <v>2550</v>
      </c>
      <c r="U67" s="2"/>
      <c r="V67" s="7">
        <f t="shared" si="45"/>
        <v>0</v>
      </c>
      <c r="W67" s="2"/>
      <c r="X67" s="6">
        <f t="shared" si="46"/>
        <v>118.19999999999982</v>
      </c>
      <c r="Y67" s="2"/>
      <c r="Z67" s="7">
        <f t="shared" si="47"/>
        <v>4.6352941176470513E-2</v>
      </c>
    </row>
    <row r="68" spans="1:26" s="28" customFormat="1" outlineLevel="1" collapsed="1" x14ac:dyDescent="0.3">
      <c r="A68" s="27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SUM(OSRRefD22_14x_0)</f>
        <v>0</v>
      </c>
      <c r="E68" s="1"/>
      <c r="F68" s="5">
        <f t="shared" si="40"/>
        <v>0</v>
      </c>
      <c r="G68" s="1"/>
      <c r="H68" s="1">
        <f>SUM(OSRRefH22_14x_0)</f>
        <v>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4"/>
      <c r="P68" s="1">
        <f>SUM(OSRRefP22_14x_0)</f>
        <v>595</v>
      </c>
      <c r="Q68" s="1"/>
      <c r="R68" s="5">
        <f t="shared" si="44"/>
        <v>0</v>
      </c>
      <c r="S68" s="1"/>
      <c r="T68" s="1">
        <f>SUM(OSRRefT22_14x_0)</f>
        <v>250</v>
      </c>
      <c r="U68" s="1"/>
      <c r="V68" s="5">
        <f t="shared" si="45"/>
        <v>0</v>
      </c>
      <c r="W68" s="1"/>
      <c r="X68" s="1">
        <f t="shared" si="46"/>
        <v>345</v>
      </c>
      <c r="Y68" s="1"/>
      <c r="Z68" s="5">
        <f t="shared" si="47"/>
        <v>1.38</v>
      </c>
    </row>
    <row r="69" spans="1:26" s="24" customFormat="1" hidden="1" outlineLevel="2" x14ac:dyDescent="0.3">
      <c r="A69" s="29"/>
      <c r="B69" s="11" t="str">
        <f>CONCATENATE("          ", "6376", " - ", "TRAINING")</f>
        <v xml:space="preserve">          6376 - TRAINING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595</v>
      </c>
      <c r="Q69" s="2"/>
      <c r="R69" s="7">
        <f t="shared" si="44"/>
        <v>0</v>
      </c>
      <c r="S69" s="2"/>
      <c r="T69" s="6">
        <v>250</v>
      </c>
      <c r="U69" s="2"/>
      <c r="V69" s="7">
        <f t="shared" si="45"/>
        <v>0</v>
      </c>
      <c r="W69" s="2"/>
      <c r="X69" s="6">
        <f t="shared" si="46"/>
        <v>345</v>
      </c>
      <c r="Y69" s="2"/>
      <c r="Z69" s="7">
        <f t="shared" si="47"/>
        <v>1.38</v>
      </c>
    </row>
    <row r="70" spans="1:26" s="28" customFormat="1" outlineLevel="1" collapsed="1" x14ac:dyDescent="0.3">
      <c r="A70" s="27"/>
      <c r="B70" s="14" t="str">
        <f>CONCATENATE("     ","Travel                                            ")</f>
        <v xml:space="preserve">     Travel                                            </v>
      </c>
      <c r="C70" s="14"/>
      <c r="D70" s="1">
        <f>SUM(OSRRefD22_15x_0)</f>
        <v>0</v>
      </c>
      <c r="E70" s="1"/>
      <c r="F70" s="5">
        <f t="shared" si="40"/>
        <v>0</v>
      </c>
      <c r="G70" s="1"/>
      <c r="H70" s="1">
        <f>SUM(OSRRefH22_15x_0)</f>
        <v>1500</v>
      </c>
      <c r="I70" s="1"/>
      <c r="J70" s="5">
        <f t="shared" si="41"/>
        <v>0</v>
      </c>
      <c r="K70" s="1"/>
      <c r="L70" s="1">
        <f t="shared" si="42"/>
        <v>-1500</v>
      </c>
      <c r="M70" s="1"/>
      <c r="N70" s="5">
        <f t="shared" si="43"/>
        <v>-1</v>
      </c>
      <c r="O70" s="14"/>
      <c r="P70" s="1">
        <f>SUM(OSRRefP22_15x_0)</f>
        <v>0</v>
      </c>
      <c r="Q70" s="1"/>
      <c r="R70" s="5">
        <f t="shared" si="44"/>
        <v>0</v>
      </c>
      <c r="S70" s="1"/>
      <c r="T70" s="1">
        <f>SUM(OSRRefT22_15x_0)</f>
        <v>1500</v>
      </c>
      <c r="U70" s="1"/>
      <c r="V70" s="5">
        <f t="shared" si="45"/>
        <v>0</v>
      </c>
      <c r="W70" s="1"/>
      <c r="X70" s="1">
        <f t="shared" si="46"/>
        <v>-1500</v>
      </c>
      <c r="Y70" s="1"/>
      <c r="Z70" s="5">
        <f t="shared" si="47"/>
        <v>-1</v>
      </c>
    </row>
    <row r="71" spans="1:26" s="24" customFormat="1" hidden="1" outlineLevel="2" x14ac:dyDescent="0.3">
      <c r="A71" s="29"/>
      <c r="B71" s="11" t="str">
        <f>CONCATENATE("          ", "6294", " - ", "TRAVEL OPERATIONAL")</f>
        <v xml:space="preserve">          6294 - TRAVEL OPERATIONAL</v>
      </c>
      <c r="C71" s="11"/>
      <c r="D71" s="6"/>
      <c r="E71" s="2"/>
      <c r="F71" s="7">
        <f t="shared" si="40"/>
        <v>0</v>
      </c>
      <c r="G71" s="2"/>
      <c r="H71" s="6">
        <v>1500</v>
      </c>
      <c r="I71" s="2"/>
      <c r="J71" s="7">
        <f t="shared" si="41"/>
        <v>0</v>
      </c>
      <c r="K71" s="2"/>
      <c r="L71" s="6">
        <f t="shared" si="42"/>
        <v>-1500</v>
      </c>
      <c r="M71" s="2"/>
      <c r="N71" s="7">
        <f t="shared" si="43"/>
        <v>-1</v>
      </c>
      <c r="O71" s="11"/>
      <c r="P71" s="6"/>
      <c r="Q71" s="2"/>
      <c r="R71" s="7">
        <f t="shared" si="44"/>
        <v>0</v>
      </c>
      <c r="S71" s="2"/>
      <c r="T71" s="6">
        <v>1500</v>
      </c>
      <c r="U71" s="2"/>
      <c r="V71" s="7">
        <f t="shared" si="45"/>
        <v>0</v>
      </c>
      <c r="W71" s="2"/>
      <c r="X71" s="6">
        <f t="shared" si="46"/>
        <v>-1500</v>
      </c>
      <c r="Y71" s="2"/>
      <c r="Z71" s="7">
        <f t="shared" si="47"/>
        <v>-1</v>
      </c>
    </row>
    <row r="72" spans="1:26" s="55" customFormat="1" x14ac:dyDescent="0.3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3">
      <c r="A73" s="10"/>
      <c r="B73" s="25" t="s">
        <v>293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+D16-D18+D73</f>
        <v>-30381.72</v>
      </c>
      <c r="E75" s="13"/>
      <c r="F75" s="22">
        <f>IF(D$12=0,0,D75/D$12)</f>
        <v>0</v>
      </c>
      <c r="G75" s="13"/>
      <c r="H75" s="20">
        <f>+H16-H18+H73</f>
        <v>-46232.928969230801</v>
      </c>
      <c r="I75" s="13"/>
      <c r="J75" s="22">
        <f>IF(H$12=0,0,H75/H$12)</f>
        <v>0</v>
      </c>
      <c r="K75" s="16"/>
      <c r="L75" s="20">
        <f>+D75-H75</f>
        <v>15851.2089692308</v>
      </c>
      <c r="M75" s="16"/>
      <c r="N75" s="22">
        <f>IF(H75=0,0,L75/H75)</f>
        <v>-0.34285539165775514</v>
      </c>
      <c r="O75" s="25"/>
      <c r="P75" s="20">
        <f>+P16-P18+P73</f>
        <v>-239015.44999999998</v>
      </c>
      <c r="Q75" s="13"/>
      <c r="R75" s="22">
        <f>IF(P$12=0,0,P75/P$12)</f>
        <v>0</v>
      </c>
      <c r="S75" s="13"/>
      <c r="T75" s="20">
        <f>+T16-T18+T73</f>
        <v>-304595.57887692307</v>
      </c>
      <c r="U75" s="13"/>
      <c r="V75" s="22">
        <f>IF(T$12=0,0,T75/T$12)</f>
        <v>0</v>
      </c>
      <c r="W75" s="16"/>
      <c r="X75" s="20">
        <f>+P75-T75</f>
        <v>65580.128876923089</v>
      </c>
      <c r="Y75" s="16"/>
      <c r="Z75" s="22">
        <f>IF(T75=0,0,X75/T75)</f>
        <v>-0.2153023005741716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/>
      <c r="E77" s="4"/>
      <c r="F77" s="12">
        <f>IF(D$12=0,0,D77/D$12)</f>
        <v>0</v>
      </c>
      <c r="G77" s="4"/>
      <c r="H77" s="4"/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/>
      <c r="Q77" s="4"/>
      <c r="R77" s="12">
        <f>IF(P$12=0,0,P77/P$12)</f>
        <v>0</v>
      </c>
      <c r="S77" s="4"/>
      <c r="T77" s="4"/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1">
        <f>+D75-D77</f>
        <v>-30381.72</v>
      </c>
      <c r="E79" s="13"/>
      <c r="F79" s="30">
        <f>IF(D$12=0,0,D79/D$12)</f>
        <v>0</v>
      </c>
      <c r="G79" s="13"/>
      <c r="H79" s="31">
        <f>+H75-H77</f>
        <v>-46232.928969230801</v>
      </c>
      <c r="I79" s="13"/>
      <c r="J79" s="30">
        <f>IF(H$12=0,0,H79/H$12)</f>
        <v>0</v>
      </c>
      <c r="K79" s="16"/>
      <c r="L79" s="31">
        <f>D79-H79</f>
        <v>15851.2089692308</v>
      </c>
      <c r="M79" s="16"/>
      <c r="N79" s="30">
        <f>IF(H79=0,0,L79/H79)</f>
        <v>-0.34285539165775514</v>
      </c>
      <c r="O79" s="25"/>
      <c r="P79" s="31">
        <f>+P75-P77</f>
        <v>-239015.44999999998</v>
      </c>
      <c r="Q79" s="13"/>
      <c r="R79" s="30">
        <f>IF(P$12=0,0,P79/P$12)</f>
        <v>0</v>
      </c>
      <c r="S79" s="13"/>
      <c r="T79" s="31">
        <f>+T75-T77</f>
        <v>-304595.57887692307</v>
      </c>
      <c r="U79" s="13"/>
      <c r="V79" s="30">
        <f>IF(T$12=0,0,T79/T$12)</f>
        <v>0</v>
      </c>
      <c r="W79" s="16"/>
      <c r="X79" s="31">
        <f>P79-T79</f>
        <v>65580.128876923089</v>
      </c>
      <c r="Y79" s="16"/>
      <c r="Z79" s="30">
        <f>IF(T79=0,0,X79/T79)</f>
        <v>-0.2153023005741716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-30381.72</v>
      </c>
      <c r="E82" s="13"/>
      <c r="F82" s="34">
        <f>IF(D$12=0,0,D82/D$12)</f>
        <v>0</v>
      </c>
      <c r="G82" s="13"/>
      <c r="H82" s="35">
        <f>SUM(H79:H81)</f>
        <v>-46232.928969230801</v>
      </c>
      <c r="I82" s="13"/>
      <c r="J82" s="34">
        <f>IF(H$12=0,0,H82/H$12)</f>
        <v>0</v>
      </c>
      <c r="K82" s="16"/>
      <c r="L82" s="35">
        <f>+D82-H82</f>
        <v>15851.2089692308</v>
      </c>
      <c r="M82" s="16"/>
      <c r="N82" s="34">
        <f>IF(H82=0,0,L82/H82)</f>
        <v>-0.34285539165775514</v>
      </c>
      <c r="O82" s="25"/>
      <c r="P82" s="35">
        <f>SUM(P79:P81)</f>
        <v>-239015.44999999998</v>
      </c>
      <c r="Q82" s="13"/>
      <c r="R82" s="34">
        <f>IF(P$12=0,0,P82/P$12)</f>
        <v>0</v>
      </c>
      <c r="S82" s="13"/>
      <c r="T82" s="35">
        <f>SUM(T79:T81)</f>
        <v>-304595.57887692307</v>
      </c>
      <c r="U82" s="13"/>
      <c r="V82" s="34">
        <f>IF(T$12=0,0,T82/T$12)</f>
        <v>0</v>
      </c>
      <c r="W82" s="16"/>
      <c r="X82" s="35">
        <f>+P82-T82</f>
        <v>65580.128876923089</v>
      </c>
      <c r="Y82" s="16"/>
      <c r="Z82" s="34">
        <f>IF(T82=0,0,X82/T82)</f>
        <v>-0.2153023005741716</v>
      </c>
    </row>
    <row r="83" spans="1:26" ht="15" thickTop="1" x14ac:dyDescent="0.3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3">
      <c r="A84" s="9"/>
      <c r="B84" s="61">
        <v>44575.842125659721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3">
      <c r="A85" s="9"/>
      <c r="B85" s="62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53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","202", " - ", "Accounting")</f>
        <v>Department 202 - Accounting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38170.729999999989</v>
      </c>
      <c r="E18" s="21"/>
      <c r="F18" s="32">
        <f t="shared" ref="F18:F28" si="0">IF(D$12=0,0,D18/D$12)</f>
        <v>0</v>
      </c>
      <c r="G18" s="21"/>
      <c r="H18" s="21">
        <f>SUM(OSRRefH22x_0)</f>
        <v>37946.109144307673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224.62085569231567</v>
      </c>
      <c r="M18" s="4"/>
      <c r="N18" s="32">
        <f t="shared" ref="N18:N28" si="3">IF(H18=0,0,L18/H18)</f>
        <v>5.9194700262440803E-3</v>
      </c>
      <c r="O18" s="10"/>
      <c r="P18" s="21">
        <f>SUM(OSRRefP22x_0)</f>
        <v>243048.88999999998</v>
      </c>
      <c r="Q18" s="21"/>
      <c r="R18" s="32">
        <f t="shared" ref="R18:R28" si="4">IF(P$12=0,0,P18/P$12)</f>
        <v>0</v>
      </c>
      <c r="S18" s="21"/>
      <c r="T18" s="21">
        <f>SUM(OSRRefT22x_0)</f>
        <v>236388.30143799985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6660.5885620001354</v>
      </c>
      <c r="Y18" s="4"/>
      <c r="Z18" s="32">
        <f t="shared" ref="Z18:Z28" si="7">IF(T18=0,0,X18/T18)</f>
        <v>2.817647286892952E-2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13275.729999999998</v>
      </c>
      <c r="E19" s="1"/>
      <c r="F19" s="5">
        <f t="shared" si="0"/>
        <v>0</v>
      </c>
      <c r="G19" s="1"/>
      <c r="H19" s="1">
        <f>SUM(OSRRefH22_0x_0)</f>
        <v>12757.33375969231</v>
      </c>
      <c r="I19" s="1"/>
      <c r="J19" s="5">
        <f t="shared" si="1"/>
        <v>0</v>
      </c>
      <c r="K19" s="1"/>
      <c r="L19" s="1">
        <f t="shared" si="2"/>
        <v>518.39624030768755</v>
      </c>
      <c r="M19" s="1"/>
      <c r="N19" s="5">
        <f t="shared" si="3"/>
        <v>4.06351554386385E-2</v>
      </c>
      <c r="O19" s="14"/>
      <c r="P19" s="1">
        <f>SUM(OSRRefP22_0x_0)</f>
        <v>80955.94</v>
      </c>
      <c r="Q19" s="1"/>
      <c r="R19" s="5">
        <f t="shared" si="4"/>
        <v>0</v>
      </c>
      <c r="S19" s="1"/>
      <c r="T19" s="1">
        <f>SUM(OSRRefT22_0x_0)</f>
        <v>79333.761438000045</v>
      </c>
      <c r="U19" s="1"/>
      <c r="V19" s="5">
        <f t="shared" si="5"/>
        <v>0</v>
      </c>
      <c r="W19" s="1"/>
      <c r="X19" s="1">
        <f t="shared" si="6"/>
        <v>1622.1785619999573</v>
      </c>
      <c r="Y19" s="1"/>
      <c r="Z19" s="5">
        <f t="shared" si="7"/>
        <v>2.0447518592291915E-2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>
        <v>1708.26</v>
      </c>
      <c r="E20" s="2"/>
      <c r="F20" s="7">
        <f t="shared" si="0"/>
        <v>0</v>
      </c>
      <c r="G20" s="2"/>
      <c r="H20" s="6">
        <v>1673.77703353846</v>
      </c>
      <c r="I20" s="2"/>
      <c r="J20" s="7">
        <f t="shared" si="1"/>
        <v>0</v>
      </c>
      <c r="K20" s="2"/>
      <c r="L20" s="6">
        <f t="shared" si="2"/>
        <v>34.482966461539945</v>
      </c>
      <c r="M20" s="2"/>
      <c r="N20" s="7">
        <f t="shared" si="3"/>
        <v>2.0601887689091412E-2</v>
      </c>
      <c r="O20" s="11"/>
      <c r="P20" s="6">
        <v>10736.14</v>
      </c>
      <c r="Q20" s="2"/>
      <c r="R20" s="7">
        <f t="shared" si="4"/>
        <v>0</v>
      </c>
      <c r="S20" s="2"/>
      <c r="T20" s="6">
        <v>10879.550718</v>
      </c>
      <c r="U20" s="2"/>
      <c r="V20" s="7">
        <f t="shared" si="5"/>
        <v>0</v>
      </c>
      <c r="W20" s="2"/>
      <c r="X20" s="6">
        <f t="shared" si="6"/>
        <v>-143.410718000001</v>
      </c>
      <c r="Y20" s="2"/>
      <c r="Z20" s="7">
        <f t="shared" si="7"/>
        <v>-1.3181676497240903E-2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291.41000000000003</v>
      </c>
      <c r="E21" s="2"/>
      <c r="F21" s="7">
        <f t="shared" si="0"/>
        <v>0</v>
      </c>
      <c r="G21" s="2"/>
      <c r="H21" s="6">
        <v>74.743670769230803</v>
      </c>
      <c r="I21" s="2"/>
      <c r="J21" s="7">
        <f t="shared" si="1"/>
        <v>0</v>
      </c>
      <c r="K21" s="2"/>
      <c r="L21" s="6">
        <f t="shared" si="2"/>
        <v>216.66632923076924</v>
      </c>
      <c r="M21" s="2"/>
      <c r="N21" s="7">
        <f t="shared" si="3"/>
        <v>2.8987916568845149</v>
      </c>
      <c r="O21" s="11"/>
      <c r="P21" s="6">
        <v>1845.98</v>
      </c>
      <c r="Q21" s="2"/>
      <c r="R21" s="7">
        <f t="shared" si="4"/>
        <v>0</v>
      </c>
      <c r="S21" s="2"/>
      <c r="T21" s="6">
        <v>470.20985999999999</v>
      </c>
      <c r="U21" s="2"/>
      <c r="V21" s="7">
        <f t="shared" si="5"/>
        <v>0</v>
      </c>
      <c r="W21" s="2"/>
      <c r="X21" s="6">
        <f t="shared" si="6"/>
        <v>1375.7701400000001</v>
      </c>
      <c r="Y21" s="2"/>
      <c r="Z21" s="7">
        <f t="shared" si="7"/>
        <v>2.9258640811998289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>
        <v>6221.66</v>
      </c>
      <c r="E22" s="2"/>
      <c r="F22" s="7">
        <f t="shared" si="0"/>
        <v>0</v>
      </c>
      <c r="G22" s="2"/>
      <c r="H22" s="6">
        <v>6123</v>
      </c>
      <c r="I22" s="2"/>
      <c r="J22" s="7">
        <f t="shared" si="1"/>
        <v>0</v>
      </c>
      <c r="K22" s="2"/>
      <c r="L22" s="6">
        <f t="shared" si="2"/>
        <v>98.659999999999854</v>
      </c>
      <c r="M22" s="2"/>
      <c r="N22" s="7">
        <f t="shared" si="3"/>
        <v>1.6113016495182077E-2</v>
      </c>
      <c r="O22" s="11"/>
      <c r="P22" s="6">
        <v>37374.959999999999</v>
      </c>
      <c r="Q22" s="2"/>
      <c r="R22" s="7">
        <f t="shared" si="4"/>
        <v>0</v>
      </c>
      <c r="S22" s="2"/>
      <c r="T22" s="6">
        <v>36738</v>
      </c>
      <c r="U22" s="2"/>
      <c r="V22" s="7">
        <f t="shared" si="5"/>
        <v>0</v>
      </c>
      <c r="W22" s="2"/>
      <c r="X22" s="6">
        <f t="shared" si="6"/>
        <v>636.95999999999913</v>
      </c>
      <c r="Y22" s="2"/>
      <c r="Z22" s="7">
        <f t="shared" si="7"/>
        <v>1.7337906255103685E-2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58.73</v>
      </c>
      <c r="E23" s="2"/>
      <c r="F23" s="7">
        <f t="shared" si="0"/>
        <v>0</v>
      </c>
      <c r="G23" s="2"/>
      <c r="H23" s="6">
        <v>50.632809230769197</v>
      </c>
      <c r="I23" s="2"/>
      <c r="J23" s="7">
        <f t="shared" si="1"/>
        <v>0</v>
      </c>
      <c r="K23" s="2"/>
      <c r="L23" s="6">
        <f t="shared" si="2"/>
        <v>8.0971907692307994</v>
      </c>
      <c r="M23" s="2"/>
      <c r="N23" s="7">
        <f t="shared" si="3"/>
        <v>0.15991984036134013</v>
      </c>
      <c r="O23" s="11"/>
      <c r="P23" s="6">
        <v>372.06</v>
      </c>
      <c r="Q23" s="2"/>
      <c r="R23" s="7">
        <f t="shared" si="4"/>
        <v>0</v>
      </c>
      <c r="S23" s="2"/>
      <c r="T23" s="6">
        <v>318.52926000000002</v>
      </c>
      <c r="U23" s="2"/>
      <c r="V23" s="7">
        <f t="shared" si="5"/>
        <v>0</v>
      </c>
      <c r="W23" s="2"/>
      <c r="X23" s="6">
        <f t="shared" si="6"/>
        <v>53.53073999999998</v>
      </c>
      <c r="Y23" s="2"/>
      <c r="Z23" s="7">
        <f t="shared" si="7"/>
        <v>0.16805595818732627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>
        <v>2025.79</v>
      </c>
      <c r="E24" s="2"/>
      <c r="F24" s="7">
        <f t="shared" si="0"/>
        <v>0</v>
      </c>
      <c r="G24" s="2"/>
      <c r="H24" s="6">
        <v>1880.89409230769</v>
      </c>
      <c r="I24" s="2"/>
      <c r="J24" s="7">
        <f t="shared" si="1"/>
        <v>0</v>
      </c>
      <c r="K24" s="2"/>
      <c r="L24" s="6">
        <f t="shared" si="2"/>
        <v>144.89590769230995</v>
      </c>
      <c r="M24" s="2"/>
      <c r="N24" s="7">
        <f t="shared" si="3"/>
        <v>7.7035654630897121E-2</v>
      </c>
      <c r="O24" s="11"/>
      <c r="P24" s="6">
        <v>12817.18</v>
      </c>
      <c r="Q24" s="2"/>
      <c r="R24" s="7">
        <f t="shared" si="4"/>
        <v>0</v>
      </c>
      <c r="S24" s="2"/>
      <c r="T24" s="6">
        <v>12225.811600000001</v>
      </c>
      <c r="U24" s="2"/>
      <c r="V24" s="7">
        <f t="shared" si="5"/>
        <v>0</v>
      </c>
      <c r="W24" s="2"/>
      <c r="X24" s="6">
        <f t="shared" si="6"/>
        <v>591.36839999999938</v>
      </c>
      <c r="Y24" s="2"/>
      <c r="Z24" s="7">
        <f t="shared" si="7"/>
        <v>4.8370482005464517E-2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6">
        <v>1470.48</v>
      </c>
      <c r="E26" s="2"/>
      <c r="F26" s="7">
        <f t="shared" si="0"/>
        <v>0</v>
      </c>
      <c r="G26" s="2"/>
      <c r="H26" s="6">
        <v>1093.54307692308</v>
      </c>
      <c r="I26" s="2"/>
      <c r="J26" s="7">
        <f t="shared" si="1"/>
        <v>0</v>
      </c>
      <c r="K26" s="2"/>
      <c r="L26" s="6">
        <f t="shared" si="2"/>
        <v>376.93692307692004</v>
      </c>
      <c r="M26" s="2"/>
      <c r="N26" s="7">
        <f t="shared" si="3"/>
        <v>0.34469325537455153</v>
      </c>
      <c r="O26" s="11"/>
      <c r="P26" s="6">
        <v>8187.98</v>
      </c>
      <c r="Q26" s="2"/>
      <c r="R26" s="7">
        <f t="shared" si="4"/>
        <v>0</v>
      </c>
      <c r="S26" s="2"/>
      <c r="T26" s="6">
        <v>7108.0300000000198</v>
      </c>
      <c r="U26" s="2"/>
      <c r="V26" s="7">
        <f t="shared" si="5"/>
        <v>0</v>
      </c>
      <c r="W26" s="2"/>
      <c r="X26" s="6">
        <f t="shared" si="6"/>
        <v>1079.9499999999798</v>
      </c>
      <c r="Y26" s="2"/>
      <c r="Z26" s="7">
        <f t="shared" si="7"/>
        <v>0.15193379881626509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6">
        <v>1018.58</v>
      </c>
      <c r="E27" s="2"/>
      <c r="F27" s="7">
        <f t="shared" si="0"/>
        <v>0</v>
      </c>
      <c r="G27" s="2"/>
      <c r="H27" s="6">
        <v>1160.74307692308</v>
      </c>
      <c r="I27" s="2"/>
      <c r="J27" s="7">
        <f t="shared" si="1"/>
        <v>0</v>
      </c>
      <c r="K27" s="2"/>
      <c r="L27" s="6">
        <f t="shared" si="2"/>
        <v>-142.16307692307998</v>
      </c>
      <c r="M27" s="2"/>
      <c r="N27" s="7">
        <f t="shared" si="3"/>
        <v>-0.12247592059728549</v>
      </c>
      <c r="O27" s="11"/>
      <c r="P27" s="6">
        <v>6444.55</v>
      </c>
      <c r="Q27" s="2"/>
      <c r="R27" s="7">
        <f t="shared" si="4"/>
        <v>0</v>
      </c>
      <c r="S27" s="2"/>
      <c r="T27" s="6">
        <v>7393.6300000000201</v>
      </c>
      <c r="U27" s="2"/>
      <c r="V27" s="7">
        <f t="shared" si="5"/>
        <v>0</v>
      </c>
      <c r="W27" s="2"/>
      <c r="X27" s="6">
        <f t="shared" si="6"/>
        <v>-949.08000000001994</v>
      </c>
      <c r="Y27" s="2"/>
      <c r="Z27" s="7">
        <f t="shared" si="7"/>
        <v>-0.12836455164783975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6">
        <v>480.82</v>
      </c>
      <c r="E28" s="2"/>
      <c r="F28" s="7">
        <f t="shared" si="0"/>
        <v>0</v>
      </c>
      <c r="G28" s="2"/>
      <c r="H28" s="6">
        <v>700</v>
      </c>
      <c r="I28" s="2"/>
      <c r="J28" s="7">
        <f t="shared" si="1"/>
        <v>0</v>
      </c>
      <c r="K28" s="2"/>
      <c r="L28" s="6">
        <f t="shared" si="2"/>
        <v>-219.18</v>
      </c>
      <c r="M28" s="2"/>
      <c r="N28" s="7">
        <f t="shared" si="3"/>
        <v>-0.31311428571428573</v>
      </c>
      <c r="O28" s="11"/>
      <c r="P28" s="6">
        <v>3177.09</v>
      </c>
      <c r="Q28" s="2"/>
      <c r="R28" s="7">
        <f t="shared" si="4"/>
        <v>0</v>
      </c>
      <c r="S28" s="2"/>
      <c r="T28" s="6">
        <v>4200</v>
      </c>
      <c r="U28" s="2"/>
      <c r="V28" s="7">
        <f t="shared" si="5"/>
        <v>0</v>
      </c>
      <c r="W28" s="2"/>
      <c r="X28" s="6">
        <f t="shared" si="6"/>
        <v>-1022.9099999999999</v>
      </c>
      <c r="Y28" s="2"/>
      <c r="Z28" s="7">
        <f t="shared" si="7"/>
        <v>-0.24354999999999996</v>
      </c>
    </row>
    <row r="29" spans="1:26" s="28" customFormat="1" outlineLevel="1" collapsed="1" x14ac:dyDescent="0.3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21786.84</v>
      </c>
      <c r="E29" s="1"/>
      <c r="F29" s="5">
        <f t="shared" ref="F29:F39" si="8">IF(D$12=0,0,D29/D$12)</f>
        <v>0</v>
      </c>
      <c r="G29" s="1"/>
      <c r="H29" s="1">
        <f>SUM(OSRRefH22_1x_0)</f>
        <v>21923.775384615361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-136.93538461536082</v>
      </c>
      <c r="M29" s="1"/>
      <c r="N29" s="5">
        <f t="shared" ref="N29:N39" si="11">IF(H29=0,0,L29/H29)</f>
        <v>-6.2459764439774784E-3</v>
      </c>
      <c r="O29" s="14"/>
      <c r="P29" s="1">
        <f>SUM(OSRRefP22_1x_0)</f>
        <v>139553.46</v>
      </c>
      <c r="Q29" s="1"/>
      <c r="R29" s="5">
        <f t="shared" ref="R29:R39" si="12">IF(P$12=0,0,P29/P$12)</f>
        <v>0</v>
      </c>
      <c r="S29" s="1"/>
      <c r="T29" s="1">
        <f>SUM(OSRRefT22_1x_0)</f>
        <v>137464.5399999998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2088.9200000001874</v>
      </c>
      <c r="Y29" s="1"/>
      <c r="Z29" s="5">
        <f t="shared" ref="Z29:Z39" si="15">IF(T29=0,0,X29/T29)</f>
        <v>1.5196064381404764E-2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5581.9661538461596</v>
      </c>
      <c r="I30" s="2"/>
      <c r="J30" s="7">
        <f t="shared" si="9"/>
        <v>0</v>
      </c>
      <c r="K30" s="2"/>
      <c r="L30" s="6">
        <f t="shared" si="10"/>
        <v>-5581.9661538461596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36282.78</v>
      </c>
      <c r="U30" s="2"/>
      <c r="V30" s="7">
        <f t="shared" si="13"/>
        <v>0</v>
      </c>
      <c r="W30" s="2"/>
      <c r="X30" s="6">
        <f t="shared" si="14"/>
        <v>-36282.78</v>
      </c>
      <c r="Y30" s="2"/>
      <c r="Z30" s="7">
        <f t="shared" si="15"/>
        <v>-1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6">
        <v>21279.8</v>
      </c>
      <c r="E31" s="2"/>
      <c r="F31" s="7">
        <f t="shared" si="8"/>
        <v>0</v>
      </c>
      <c r="G31" s="2"/>
      <c r="H31" s="6">
        <v>14101.8092307692</v>
      </c>
      <c r="I31" s="2"/>
      <c r="J31" s="7">
        <f t="shared" si="9"/>
        <v>0</v>
      </c>
      <c r="K31" s="2"/>
      <c r="L31" s="6">
        <f t="shared" si="10"/>
        <v>7177.9907692307988</v>
      </c>
      <c r="M31" s="2"/>
      <c r="N31" s="7">
        <f t="shared" si="11"/>
        <v>0.50901204602661232</v>
      </c>
      <c r="O31" s="11"/>
      <c r="P31" s="6">
        <v>136547.06</v>
      </c>
      <c r="Q31" s="2"/>
      <c r="R31" s="7">
        <f t="shared" si="12"/>
        <v>0</v>
      </c>
      <c r="S31" s="2"/>
      <c r="T31" s="6">
        <v>91661.759999999806</v>
      </c>
      <c r="U31" s="2"/>
      <c r="V31" s="7">
        <f t="shared" si="13"/>
        <v>0</v>
      </c>
      <c r="W31" s="2"/>
      <c r="X31" s="6">
        <f t="shared" si="14"/>
        <v>44885.300000000192</v>
      </c>
      <c r="Y31" s="2"/>
      <c r="Z31" s="7">
        <f t="shared" si="15"/>
        <v>0.48968402963242563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6">
        <v>507.04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507.04</v>
      </c>
      <c r="M36" s="2"/>
      <c r="N36" s="7">
        <f t="shared" si="11"/>
        <v>0</v>
      </c>
      <c r="O36" s="11"/>
      <c r="P36" s="6">
        <v>3006.4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3006.4</v>
      </c>
      <c r="Y36" s="2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2240</v>
      </c>
      <c r="I37" s="2"/>
      <c r="J37" s="7">
        <f t="shared" si="9"/>
        <v>0</v>
      </c>
      <c r="K37" s="2"/>
      <c r="L37" s="6">
        <f t="shared" si="10"/>
        <v>-2240</v>
      </c>
      <c r="M37" s="2"/>
      <c r="N37" s="7">
        <f t="shared" si="11"/>
        <v>-1</v>
      </c>
      <c r="O37" s="11"/>
      <c r="P37" s="6"/>
      <c r="Q37" s="2"/>
      <c r="R37" s="7">
        <f t="shared" si="12"/>
        <v>0</v>
      </c>
      <c r="S37" s="2"/>
      <c r="T37" s="6">
        <v>9520</v>
      </c>
      <c r="U37" s="2"/>
      <c r="V37" s="7">
        <f t="shared" si="13"/>
        <v>0</v>
      </c>
      <c r="W37" s="2"/>
      <c r="X37" s="6">
        <f t="shared" si="14"/>
        <v>-9520</v>
      </c>
      <c r="Y37" s="2"/>
      <c r="Z37" s="7">
        <f t="shared" si="15"/>
        <v>-1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7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1558.88</v>
      </c>
      <c r="E40" s="1"/>
      <c r="F40" s="5">
        <f t="shared" ref="F40:F53" si="16">IF(D$12=0,0,D40/D$12)</f>
        <v>0</v>
      </c>
      <c r="G40" s="1"/>
      <c r="H40" s="1">
        <f>SUM(OSRRefH22_2x_0)</f>
        <v>1559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-0.11999999999989086</v>
      </c>
      <c r="M40" s="1"/>
      <c r="N40" s="5">
        <f t="shared" ref="N40:N53" si="19">IF(H40=0,0,L40/H40)</f>
        <v>-7.6972418216735637E-5</v>
      </c>
      <c r="O40" s="14"/>
      <c r="P40" s="1">
        <f>SUM(OSRRefP22_2x_0)</f>
        <v>9353.2800000000007</v>
      </c>
      <c r="Q40" s="1"/>
      <c r="R40" s="5">
        <f t="shared" ref="R40:R53" si="20">IF(P$12=0,0,P40/P$12)</f>
        <v>0</v>
      </c>
      <c r="S40" s="1"/>
      <c r="T40" s="1">
        <f>SUM(OSRRefT22_2x_0)</f>
        <v>9354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-0.71999999999934516</v>
      </c>
      <c r="Y40" s="1"/>
      <c r="Z40" s="5">
        <f t="shared" ref="Z40:Z53" si="23">IF(T40=0,0,X40/T40)</f>
        <v>-7.6972418216735637E-5</v>
      </c>
    </row>
    <row r="41" spans="1:26" s="24" customFormat="1" hidden="1" outlineLevel="2" x14ac:dyDescent="0.3">
      <c r="A41" s="29"/>
      <c r="B41" s="11" t="str">
        <f>CONCATENATE("          ", "6322", " - ", "EQUIPMENT DEPRECIATION EXPENSE")</f>
        <v xml:space="preserve">          6322 - EQUIPMENT DEPRECIATION EXPENSE</v>
      </c>
      <c r="C41" s="11"/>
      <c r="D41" s="6">
        <v>1558.88</v>
      </c>
      <c r="E41" s="2"/>
      <c r="F41" s="7">
        <f t="shared" si="16"/>
        <v>0</v>
      </c>
      <c r="G41" s="2"/>
      <c r="H41" s="6">
        <v>1559</v>
      </c>
      <c r="I41" s="2"/>
      <c r="J41" s="7">
        <f t="shared" si="17"/>
        <v>0</v>
      </c>
      <c r="K41" s="2"/>
      <c r="L41" s="6">
        <f t="shared" si="18"/>
        <v>-0.11999999999989086</v>
      </c>
      <c r="M41" s="2"/>
      <c r="N41" s="7">
        <f t="shared" si="19"/>
        <v>-7.6972418216735637E-5</v>
      </c>
      <c r="O41" s="11"/>
      <c r="P41" s="6">
        <v>9353.2800000000007</v>
      </c>
      <c r="Q41" s="2"/>
      <c r="R41" s="7">
        <f t="shared" si="20"/>
        <v>0</v>
      </c>
      <c r="S41" s="2"/>
      <c r="T41" s="6">
        <v>9354</v>
      </c>
      <c r="U41" s="2"/>
      <c r="V41" s="7">
        <f t="shared" si="21"/>
        <v>0</v>
      </c>
      <c r="W41" s="2"/>
      <c r="X41" s="6">
        <f t="shared" si="22"/>
        <v>-0.71999999999934516</v>
      </c>
      <c r="Y41" s="2"/>
      <c r="Z41" s="7">
        <f t="shared" si="23"/>
        <v>-7.6972418216735637E-5</v>
      </c>
    </row>
    <row r="42" spans="1:26" s="28" customFormat="1" outlineLevel="1" collapsed="1" x14ac:dyDescent="0.3">
      <c r="A42" s="27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8.02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8.02</v>
      </c>
      <c r="M42" s="1"/>
      <c r="N42" s="5">
        <f t="shared" si="19"/>
        <v>0</v>
      </c>
      <c r="O42" s="14"/>
      <c r="P42" s="1">
        <f>SUM(OSRRefP22_3x_0)</f>
        <v>8.02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8.02</v>
      </c>
      <c r="Y42" s="1"/>
      <c r="Z42" s="5">
        <f t="shared" si="23"/>
        <v>0</v>
      </c>
    </row>
    <row r="43" spans="1:26" s="24" customFormat="1" hidden="1" outlineLevel="2" x14ac:dyDescent="0.3">
      <c r="A43" s="29"/>
      <c r="B43" s="11" t="str">
        <f>CONCATENATE("          ", "6277", " - ", "EMPLOYEE APPRECIATION")</f>
        <v xml:space="preserve">          6277 - EMPLOYEE APPRECIATION</v>
      </c>
      <c r="C43" s="11"/>
      <c r="D43" s="6">
        <v>8.02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8.02</v>
      </c>
      <c r="M43" s="2"/>
      <c r="N43" s="7">
        <f t="shared" si="19"/>
        <v>0</v>
      </c>
      <c r="O43" s="11"/>
      <c r="P43" s="6">
        <v>8.02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8.02</v>
      </c>
      <c r="Y43" s="2"/>
      <c r="Z43" s="7">
        <f t="shared" si="23"/>
        <v>0</v>
      </c>
    </row>
    <row r="44" spans="1:26" s="28" customFormat="1" outlineLevel="1" collapsed="1" x14ac:dyDescent="0.3">
      <c r="A44" s="27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91</v>
      </c>
      <c r="I44" s="1"/>
      <c r="J44" s="5">
        <f t="shared" si="17"/>
        <v>0</v>
      </c>
      <c r="K44" s="1"/>
      <c r="L44" s="1">
        <f t="shared" si="18"/>
        <v>0.26000000000000512</v>
      </c>
      <c r="M44" s="1"/>
      <c r="N44" s="5">
        <f t="shared" si="19"/>
        <v>2.8571428571429135E-3</v>
      </c>
      <c r="O44" s="14"/>
      <c r="P44" s="1">
        <f>SUM(OSRRefP22_4x_0)</f>
        <v>547.55999999999995</v>
      </c>
      <c r="Q44" s="1"/>
      <c r="R44" s="5">
        <f t="shared" si="20"/>
        <v>0</v>
      </c>
      <c r="S44" s="1"/>
      <c r="T44" s="1">
        <f>SUM(OSRRefT22_4x_0)</f>
        <v>546</v>
      </c>
      <c r="U44" s="1"/>
      <c r="V44" s="5">
        <f t="shared" si="21"/>
        <v>0</v>
      </c>
      <c r="W44" s="1"/>
      <c r="X44" s="1">
        <f t="shared" si="22"/>
        <v>1.5599999999999454</v>
      </c>
      <c r="Y44" s="1"/>
      <c r="Z44" s="5">
        <f t="shared" si="23"/>
        <v>2.8571428571427574E-3</v>
      </c>
    </row>
    <row r="45" spans="1:26" s="24" customFormat="1" hidden="1" outlineLevel="2" x14ac:dyDescent="0.3">
      <c r="A45" s="29"/>
      <c r="B45" s="11" t="str">
        <f>CONCATENATE("          ", "6351", " - ", "EQUIPMENT RENTAL")</f>
        <v xml:space="preserve">          6351 - EQUIPMENT RENTAL</v>
      </c>
      <c r="C45" s="11"/>
      <c r="D45" s="6">
        <v>91.26</v>
      </c>
      <c r="E45" s="2"/>
      <c r="F45" s="7">
        <f t="shared" si="16"/>
        <v>0</v>
      </c>
      <c r="G45" s="2"/>
      <c r="H45" s="6">
        <v>91</v>
      </c>
      <c r="I45" s="2"/>
      <c r="J45" s="7">
        <f t="shared" si="17"/>
        <v>0</v>
      </c>
      <c r="K45" s="2"/>
      <c r="L45" s="6">
        <f t="shared" si="18"/>
        <v>0.26000000000000512</v>
      </c>
      <c r="M45" s="2"/>
      <c r="N45" s="7">
        <f t="shared" si="19"/>
        <v>2.8571428571429135E-3</v>
      </c>
      <c r="O45" s="11"/>
      <c r="P45" s="6">
        <v>547.55999999999995</v>
      </c>
      <c r="Q45" s="2"/>
      <c r="R45" s="7">
        <f t="shared" si="20"/>
        <v>0</v>
      </c>
      <c r="S45" s="2"/>
      <c r="T45" s="6">
        <v>546</v>
      </c>
      <c r="U45" s="2"/>
      <c r="V45" s="7">
        <f t="shared" si="21"/>
        <v>0</v>
      </c>
      <c r="W45" s="2"/>
      <c r="X45" s="6">
        <f t="shared" si="22"/>
        <v>1.5599999999999454</v>
      </c>
      <c r="Y45" s="2"/>
      <c r="Z45" s="7">
        <f t="shared" si="23"/>
        <v>2.8571428571427574E-3</v>
      </c>
    </row>
    <row r="46" spans="1:26" s="28" customFormat="1" outlineLevel="1" collapsed="1" x14ac:dyDescent="0.3">
      <c r="A46" s="27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SUM(OSRRefD22_5x_0)</f>
        <v>130.52000000000001</v>
      </c>
      <c r="E46" s="1"/>
      <c r="F46" s="5">
        <f t="shared" si="16"/>
        <v>0</v>
      </c>
      <c r="G46" s="1"/>
      <c r="H46" s="1">
        <f>SUM(OSRRefH22_5x_0)</f>
        <v>100</v>
      </c>
      <c r="I46" s="1"/>
      <c r="J46" s="5">
        <f t="shared" si="17"/>
        <v>0</v>
      </c>
      <c r="K46" s="1"/>
      <c r="L46" s="1">
        <f t="shared" si="18"/>
        <v>30.52000000000001</v>
      </c>
      <c r="M46" s="1"/>
      <c r="N46" s="5">
        <f t="shared" si="19"/>
        <v>0.30520000000000008</v>
      </c>
      <c r="O46" s="14"/>
      <c r="P46" s="1">
        <f>SUM(OSRRefP22_5x_0)</f>
        <v>793.34</v>
      </c>
      <c r="Q46" s="1"/>
      <c r="R46" s="5">
        <f t="shared" si="20"/>
        <v>0</v>
      </c>
      <c r="S46" s="1"/>
      <c r="T46" s="1">
        <f>SUM(OSRRefT22_5x_0)</f>
        <v>600</v>
      </c>
      <c r="U46" s="1"/>
      <c r="V46" s="5">
        <f t="shared" si="21"/>
        <v>0</v>
      </c>
      <c r="W46" s="1"/>
      <c r="X46" s="1">
        <f t="shared" si="22"/>
        <v>193.34000000000003</v>
      </c>
      <c r="Y46" s="1"/>
      <c r="Z46" s="5">
        <f t="shared" si="23"/>
        <v>0.32223333333333337</v>
      </c>
    </row>
    <row r="47" spans="1:26" s="24" customFormat="1" hidden="1" outlineLevel="2" x14ac:dyDescent="0.3">
      <c r="A47" s="29"/>
      <c r="B47" s="11" t="str">
        <f>CONCATENATE("          ", "6307", " - ", "POSTAGE")</f>
        <v xml:space="preserve">          6307 - POSTAGE</v>
      </c>
      <c r="C47" s="11"/>
      <c r="D47" s="6">
        <v>130.52000000000001</v>
      </c>
      <c r="E47" s="2"/>
      <c r="F47" s="7">
        <f t="shared" si="16"/>
        <v>0</v>
      </c>
      <c r="G47" s="2"/>
      <c r="H47" s="6">
        <v>100</v>
      </c>
      <c r="I47" s="2"/>
      <c r="J47" s="7">
        <f t="shared" si="17"/>
        <v>0</v>
      </c>
      <c r="K47" s="2"/>
      <c r="L47" s="6">
        <f t="shared" si="18"/>
        <v>30.52000000000001</v>
      </c>
      <c r="M47" s="2"/>
      <c r="N47" s="7">
        <f t="shared" si="19"/>
        <v>0.30520000000000008</v>
      </c>
      <c r="O47" s="11"/>
      <c r="P47" s="6">
        <v>793.34</v>
      </c>
      <c r="Q47" s="2"/>
      <c r="R47" s="7">
        <f t="shared" si="20"/>
        <v>0</v>
      </c>
      <c r="S47" s="2"/>
      <c r="T47" s="6">
        <v>600</v>
      </c>
      <c r="U47" s="2"/>
      <c r="V47" s="7">
        <f t="shared" si="21"/>
        <v>0</v>
      </c>
      <c r="W47" s="2"/>
      <c r="X47" s="6">
        <f t="shared" si="22"/>
        <v>193.34000000000003</v>
      </c>
      <c r="Y47" s="2"/>
      <c r="Z47" s="7">
        <f t="shared" si="23"/>
        <v>0.32223333333333337</v>
      </c>
    </row>
    <row r="48" spans="1:26" s="28" customFormat="1" outlineLevel="1" collapsed="1" x14ac:dyDescent="0.3">
      <c r="A48" s="27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SUM(OSRRefD22_6x_0)</f>
        <v>179.64</v>
      </c>
      <c r="E48" s="1"/>
      <c r="F48" s="5">
        <f t="shared" si="16"/>
        <v>0</v>
      </c>
      <c r="G48" s="1"/>
      <c r="H48" s="1">
        <f>SUM(OSRRefH22_6x_0)</f>
        <v>180</v>
      </c>
      <c r="I48" s="1"/>
      <c r="J48" s="5">
        <f t="shared" si="17"/>
        <v>0</v>
      </c>
      <c r="K48" s="1"/>
      <c r="L48" s="1">
        <f t="shared" si="18"/>
        <v>-0.36000000000001364</v>
      </c>
      <c r="M48" s="1"/>
      <c r="N48" s="5">
        <f t="shared" si="19"/>
        <v>-2.0000000000000759E-3</v>
      </c>
      <c r="O48" s="14"/>
      <c r="P48" s="1">
        <f>SUM(OSRRefP22_6x_0)</f>
        <v>1077.8399999999999</v>
      </c>
      <c r="Q48" s="1"/>
      <c r="R48" s="5">
        <f t="shared" si="20"/>
        <v>0</v>
      </c>
      <c r="S48" s="1"/>
      <c r="T48" s="1">
        <f>SUM(OSRRefT22_6x_0)</f>
        <v>1080</v>
      </c>
      <c r="U48" s="1"/>
      <c r="V48" s="5">
        <f t="shared" si="21"/>
        <v>0</v>
      </c>
      <c r="W48" s="1"/>
      <c r="X48" s="1">
        <f t="shared" si="22"/>
        <v>-2.1600000000000819</v>
      </c>
      <c r="Y48" s="1"/>
      <c r="Z48" s="5">
        <f t="shared" si="23"/>
        <v>-2.0000000000000759E-3</v>
      </c>
    </row>
    <row r="49" spans="1:26" s="24" customFormat="1" hidden="1" outlineLevel="2" x14ac:dyDescent="0.3">
      <c r="A49" s="29"/>
      <c r="B49" s="11" t="str">
        <f>CONCATENATE("          ", "6314", " - ", "LIABILITY INSURANCE")</f>
        <v xml:space="preserve">          6314 - LIABILITY INSURANCE</v>
      </c>
      <c r="C49" s="11"/>
      <c r="D49" s="6">
        <v>179.64</v>
      </c>
      <c r="E49" s="2"/>
      <c r="F49" s="7">
        <f t="shared" si="16"/>
        <v>0</v>
      </c>
      <c r="G49" s="2"/>
      <c r="H49" s="6">
        <v>180</v>
      </c>
      <c r="I49" s="2"/>
      <c r="J49" s="7">
        <f t="shared" si="17"/>
        <v>0</v>
      </c>
      <c r="K49" s="2"/>
      <c r="L49" s="6">
        <f t="shared" si="18"/>
        <v>-0.36000000000001364</v>
      </c>
      <c r="M49" s="2"/>
      <c r="N49" s="7">
        <f t="shared" si="19"/>
        <v>-2.0000000000000759E-3</v>
      </c>
      <c r="O49" s="11"/>
      <c r="P49" s="6">
        <v>1077.8399999999999</v>
      </c>
      <c r="Q49" s="2"/>
      <c r="R49" s="7">
        <f t="shared" si="20"/>
        <v>0</v>
      </c>
      <c r="S49" s="2"/>
      <c r="T49" s="6">
        <v>1080</v>
      </c>
      <c r="U49" s="2"/>
      <c r="V49" s="7">
        <f t="shared" si="21"/>
        <v>0</v>
      </c>
      <c r="W49" s="2"/>
      <c r="X49" s="6">
        <f t="shared" si="22"/>
        <v>-2.1600000000000819</v>
      </c>
      <c r="Y49" s="2"/>
      <c r="Z49" s="7">
        <f t="shared" si="23"/>
        <v>-2.0000000000000759E-3</v>
      </c>
    </row>
    <row r="50" spans="1:26" s="28" customFormat="1" outlineLevel="1" collapsed="1" x14ac:dyDescent="0.3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SUM(OSRRefD22_7x_0)</f>
        <v>67.680000000000007</v>
      </c>
      <c r="E50" s="1"/>
      <c r="F50" s="5">
        <f t="shared" si="16"/>
        <v>0</v>
      </c>
      <c r="G50" s="1"/>
      <c r="H50" s="1">
        <f>SUM(OSRRefH22_7x_0)</f>
        <v>210</v>
      </c>
      <c r="I50" s="1"/>
      <c r="J50" s="5">
        <f t="shared" si="17"/>
        <v>0</v>
      </c>
      <c r="K50" s="1"/>
      <c r="L50" s="1">
        <f t="shared" si="18"/>
        <v>-142.32</v>
      </c>
      <c r="M50" s="1"/>
      <c r="N50" s="5">
        <f t="shared" si="19"/>
        <v>-0.67771428571428571</v>
      </c>
      <c r="O50" s="14"/>
      <c r="P50" s="1">
        <f>SUM(OSRRefP22_7x_0)</f>
        <v>1968.54</v>
      </c>
      <c r="Q50" s="1"/>
      <c r="R50" s="5">
        <f t="shared" si="20"/>
        <v>0</v>
      </c>
      <c r="S50" s="1"/>
      <c r="T50" s="1">
        <f>SUM(OSRRefT22_7x_0)</f>
        <v>1260</v>
      </c>
      <c r="U50" s="1"/>
      <c r="V50" s="5">
        <f t="shared" si="21"/>
        <v>0</v>
      </c>
      <c r="W50" s="1"/>
      <c r="X50" s="1">
        <f t="shared" si="22"/>
        <v>708.54</v>
      </c>
      <c r="Y50" s="1"/>
      <c r="Z50" s="5">
        <f t="shared" si="23"/>
        <v>0.56233333333333335</v>
      </c>
    </row>
    <row r="51" spans="1:26" s="24" customFormat="1" hidden="1" outlineLevel="2" x14ac:dyDescent="0.3">
      <c r="A51" s="29"/>
      <c r="B51" s="11" t="str">
        <f>CONCATENATE("          ", "6371", " - ", "COMPUTER SOFTWARE MAINTENANCE")</f>
        <v xml:space="preserve">          6371 - COMPUTER SOFTWARE MAINTENANCE</v>
      </c>
      <c r="C51" s="11"/>
      <c r="D51" s="6">
        <v>59.95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59.95</v>
      </c>
      <c r="M51" s="2"/>
      <c r="N51" s="7">
        <f t="shared" si="19"/>
        <v>0</v>
      </c>
      <c r="O51" s="11"/>
      <c r="P51" s="6">
        <v>359.7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359.7</v>
      </c>
      <c r="Y51" s="2"/>
      <c r="Z51" s="7">
        <f t="shared" si="23"/>
        <v>0</v>
      </c>
    </row>
    <row r="52" spans="1:26" s="24" customFormat="1" hidden="1" outlineLevel="2" x14ac:dyDescent="0.3">
      <c r="A52" s="29"/>
      <c r="B52" s="11" t="str">
        <f>CONCATENATE("          ", "6373", " - ", "MAINTENANCE CONTRACTS")</f>
        <v xml:space="preserve">          6373 - MAINTENANCE CONTRACTS</v>
      </c>
      <c r="C52" s="11"/>
      <c r="D52" s="6">
        <v>7.73</v>
      </c>
      <c r="E52" s="2"/>
      <c r="F52" s="7">
        <f t="shared" si="16"/>
        <v>0</v>
      </c>
      <c r="G52" s="2"/>
      <c r="H52" s="6">
        <v>60</v>
      </c>
      <c r="I52" s="2"/>
      <c r="J52" s="7">
        <f t="shared" si="17"/>
        <v>0</v>
      </c>
      <c r="K52" s="2"/>
      <c r="L52" s="6">
        <f t="shared" si="18"/>
        <v>-52.269999999999996</v>
      </c>
      <c r="M52" s="2"/>
      <c r="N52" s="7">
        <f t="shared" si="19"/>
        <v>-0.87116666666666664</v>
      </c>
      <c r="O52" s="11"/>
      <c r="P52" s="6">
        <v>51.28</v>
      </c>
      <c r="Q52" s="2"/>
      <c r="R52" s="7">
        <f t="shared" si="20"/>
        <v>0</v>
      </c>
      <c r="S52" s="2"/>
      <c r="T52" s="6">
        <v>360</v>
      </c>
      <c r="U52" s="2"/>
      <c r="V52" s="7">
        <f t="shared" si="21"/>
        <v>0</v>
      </c>
      <c r="W52" s="2"/>
      <c r="X52" s="6">
        <f t="shared" si="22"/>
        <v>-308.72000000000003</v>
      </c>
      <c r="Y52" s="2"/>
      <c r="Z52" s="7">
        <f t="shared" si="23"/>
        <v>-0.85755555555555563</v>
      </c>
    </row>
    <row r="53" spans="1:26" s="24" customFormat="1" hidden="1" outlineLevel="2" x14ac:dyDescent="0.3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16"/>
        <v>0</v>
      </c>
      <c r="G53" s="2"/>
      <c r="H53" s="6">
        <v>150</v>
      </c>
      <c r="I53" s="2"/>
      <c r="J53" s="7">
        <f t="shared" si="17"/>
        <v>0</v>
      </c>
      <c r="K53" s="2"/>
      <c r="L53" s="6">
        <f t="shared" si="18"/>
        <v>-150</v>
      </c>
      <c r="M53" s="2"/>
      <c r="N53" s="7">
        <f t="shared" si="19"/>
        <v>-1</v>
      </c>
      <c r="O53" s="11"/>
      <c r="P53" s="6">
        <v>1557.56</v>
      </c>
      <c r="Q53" s="2"/>
      <c r="R53" s="7">
        <f t="shared" si="20"/>
        <v>0</v>
      </c>
      <c r="S53" s="2"/>
      <c r="T53" s="6">
        <v>900</v>
      </c>
      <c r="U53" s="2"/>
      <c r="V53" s="7">
        <f t="shared" si="21"/>
        <v>0</v>
      </c>
      <c r="W53" s="2"/>
      <c r="X53" s="6">
        <f t="shared" si="22"/>
        <v>657.56</v>
      </c>
      <c r="Y53" s="2"/>
      <c r="Z53" s="7">
        <f t="shared" si="23"/>
        <v>0.73062222222222217</v>
      </c>
    </row>
    <row r="54" spans="1:26" s="28" customFormat="1" outlineLevel="1" collapsed="1" x14ac:dyDescent="0.3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SUM(OSRRefD22_8x_0)</f>
        <v>657.38</v>
      </c>
      <c r="E54" s="1"/>
      <c r="F54" s="5">
        <f t="shared" ref="F54:F63" si="24">IF(D$12=0,0,D54/D$12)</f>
        <v>0</v>
      </c>
      <c r="G54" s="1"/>
      <c r="H54" s="1">
        <f>SUM(OSRRefH22_8x_0)</f>
        <v>625</v>
      </c>
      <c r="I54" s="1"/>
      <c r="J54" s="5">
        <f t="shared" ref="J54:J63" si="25">IF(H$12=0,0,H54/H$12)</f>
        <v>0</v>
      </c>
      <c r="K54" s="1"/>
      <c r="L54" s="1">
        <f t="shared" ref="L54:L63" si="26">+D54-H54</f>
        <v>32.379999999999995</v>
      </c>
      <c r="M54" s="1"/>
      <c r="N54" s="5">
        <f t="shared" ref="N54:N63" si="27">IF(H54=0,0,L54/H54)</f>
        <v>5.1807999999999993E-2</v>
      </c>
      <c r="O54" s="14"/>
      <c r="P54" s="1">
        <f>SUM(OSRRefP22_8x_0)</f>
        <v>3997.41</v>
      </c>
      <c r="Q54" s="1"/>
      <c r="R54" s="5">
        <f t="shared" ref="R54:R63" si="28">IF(P$12=0,0,P54/P$12)</f>
        <v>0</v>
      </c>
      <c r="S54" s="1"/>
      <c r="T54" s="1">
        <f>SUM(OSRRefT22_8x_0)</f>
        <v>3750</v>
      </c>
      <c r="U54" s="1"/>
      <c r="V54" s="5">
        <f t="shared" ref="V54:V63" si="29">IF(T$12=0,0,T54/T$12)</f>
        <v>0</v>
      </c>
      <c r="W54" s="1"/>
      <c r="X54" s="1">
        <f t="shared" ref="X54:X63" si="30">+P54-T54</f>
        <v>247.40999999999985</v>
      </c>
      <c r="Y54" s="1"/>
      <c r="Z54" s="5">
        <f t="shared" ref="Z54:Z63" si="31">IF(T54=0,0,X54/T54)</f>
        <v>6.5975999999999965E-2</v>
      </c>
    </row>
    <row r="55" spans="1:26" s="24" customFormat="1" hidden="1" outlineLevel="2" x14ac:dyDescent="0.3">
      <c r="A55" s="29"/>
      <c r="B55" s="11" t="str">
        <f>CONCATENATE("          ", "6281", " - ", "STORAGE FEE")</f>
        <v xml:space="preserve">          6281 - STORAGE FEE</v>
      </c>
      <c r="C55" s="11"/>
      <c r="D55" s="6">
        <v>657.38</v>
      </c>
      <c r="E55" s="2"/>
      <c r="F55" s="7">
        <f t="shared" si="24"/>
        <v>0</v>
      </c>
      <c r="G55" s="2"/>
      <c r="H55" s="6">
        <v>625</v>
      </c>
      <c r="I55" s="2"/>
      <c r="J55" s="7">
        <f t="shared" si="25"/>
        <v>0</v>
      </c>
      <c r="K55" s="2"/>
      <c r="L55" s="6">
        <f t="shared" si="26"/>
        <v>32.379999999999995</v>
      </c>
      <c r="M55" s="2"/>
      <c r="N55" s="7">
        <f t="shared" si="27"/>
        <v>5.1807999999999993E-2</v>
      </c>
      <c r="O55" s="11"/>
      <c r="P55" s="6">
        <v>3997.41</v>
      </c>
      <c r="Q55" s="2"/>
      <c r="R55" s="7">
        <f t="shared" si="28"/>
        <v>0</v>
      </c>
      <c r="S55" s="2"/>
      <c r="T55" s="6">
        <v>3750</v>
      </c>
      <c r="U55" s="2"/>
      <c r="V55" s="7">
        <f t="shared" si="29"/>
        <v>0</v>
      </c>
      <c r="W55" s="2"/>
      <c r="X55" s="6">
        <f t="shared" si="30"/>
        <v>247.40999999999985</v>
      </c>
      <c r="Y55" s="2"/>
      <c r="Z55" s="7">
        <f t="shared" si="31"/>
        <v>6.5975999999999965E-2</v>
      </c>
    </row>
    <row r="56" spans="1:26" s="28" customFormat="1" outlineLevel="1" collapsed="1" x14ac:dyDescent="0.3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SUM(OSRRefD22_9x_0)</f>
        <v>69.430000000000007</v>
      </c>
      <c r="E56" s="1"/>
      <c r="F56" s="5">
        <f t="shared" si="24"/>
        <v>0</v>
      </c>
      <c r="G56" s="1"/>
      <c r="H56" s="1">
        <f>SUM(OSRRefH22_9x_0)</f>
        <v>100</v>
      </c>
      <c r="I56" s="1"/>
      <c r="J56" s="5">
        <f t="shared" si="25"/>
        <v>0</v>
      </c>
      <c r="K56" s="1"/>
      <c r="L56" s="1">
        <f t="shared" si="26"/>
        <v>-30.569999999999993</v>
      </c>
      <c r="M56" s="1"/>
      <c r="N56" s="5">
        <f t="shared" si="27"/>
        <v>-0.30569999999999992</v>
      </c>
      <c r="O56" s="14"/>
      <c r="P56" s="1">
        <f>SUM(OSRRefP22_9x_0)</f>
        <v>1610.25</v>
      </c>
      <c r="Q56" s="1"/>
      <c r="R56" s="5">
        <f t="shared" si="28"/>
        <v>0</v>
      </c>
      <c r="S56" s="1"/>
      <c r="T56" s="1">
        <f>SUM(OSRRefT22_9x_0)</f>
        <v>600</v>
      </c>
      <c r="U56" s="1"/>
      <c r="V56" s="5">
        <f t="shared" si="29"/>
        <v>0</v>
      </c>
      <c r="W56" s="1"/>
      <c r="X56" s="1">
        <f t="shared" si="30"/>
        <v>1010.25</v>
      </c>
      <c r="Y56" s="1"/>
      <c r="Z56" s="5">
        <f t="shared" si="31"/>
        <v>1.6837500000000001</v>
      </c>
    </row>
    <row r="57" spans="1:26" s="24" customFormat="1" hidden="1" outlineLevel="2" x14ac:dyDescent="0.3">
      <c r="A57" s="29"/>
      <c r="B57" s="11" t="str">
        <f>CONCATENATE("          ", "6241", " - ", "OFFICE EXPENSE")</f>
        <v xml:space="preserve">          6241 - OFFICE EXPENSE</v>
      </c>
      <c r="C57" s="11"/>
      <c r="D57" s="6">
        <v>69.430000000000007</v>
      </c>
      <c r="E57" s="2"/>
      <c r="F57" s="7">
        <f t="shared" si="24"/>
        <v>0</v>
      </c>
      <c r="G57" s="2"/>
      <c r="H57" s="6">
        <v>100</v>
      </c>
      <c r="I57" s="2"/>
      <c r="J57" s="7">
        <f t="shared" si="25"/>
        <v>0</v>
      </c>
      <c r="K57" s="2"/>
      <c r="L57" s="6">
        <f t="shared" si="26"/>
        <v>-30.569999999999993</v>
      </c>
      <c r="M57" s="2"/>
      <c r="N57" s="7">
        <f t="shared" si="27"/>
        <v>-0.30569999999999992</v>
      </c>
      <c r="O57" s="11"/>
      <c r="P57" s="6">
        <v>1610.25</v>
      </c>
      <c r="Q57" s="2"/>
      <c r="R57" s="7">
        <f t="shared" si="28"/>
        <v>0</v>
      </c>
      <c r="S57" s="2"/>
      <c r="T57" s="6">
        <v>600</v>
      </c>
      <c r="U57" s="2"/>
      <c r="V57" s="7">
        <f t="shared" si="29"/>
        <v>0</v>
      </c>
      <c r="W57" s="2"/>
      <c r="X57" s="6">
        <f t="shared" si="30"/>
        <v>1010.25</v>
      </c>
      <c r="Y57" s="2"/>
      <c r="Z57" s="7">
        <f t="shared" si="31"/>
        <v>1.6837500000000001</v>
      </c>
    </row>
    <row r="58" spans="1:26" s="28" customFormat="1" outlineLevel="1" collapsed="1" x14ac:dyDescent="0.3">
      <c r="A58" s="27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SUM(OSRRefD22_10x_0)</f>
        <v>345.35</v>
      </c>
      <c r="E58" s="1"/>
      <c r="F58" s="5">
        <f t="shared" si="24"/>
        <v>0</v>
      </c>
      <c r="G58" s="1"/>
      <c r="H58" s="1">
        <f>SUM(OSRRefH22_10x_0)</f>
        <v>400</v>
      </c>
      <c r="I58" s="1"/>
      <c r="J58" s="5">
        <f t="shared" si="25"/>
        <v>0</v>
      </c>
      <c r="K58" s="1"/>
      <c r="L58" s="1">
        <f t="shared" si="26"/>
        <v>-54.649999999999977</v>
      </c>
      <c r="M58" s="1"/>
      <c r="N58" s="5">
        <f t="shared" si="27"/>
        <v>-0.13662499999999994</v>
      </c>
      <c r="O58" s="14"/>
      <c r="P58" s="1">
        <f>SUM(OSRRefP22_10x_0)</f>
        <v>2557.85</v>
      </c>
      <c r="Q58" s="1"/>
      <c r="R58" s="5">
        <f t="shared" si="28"/>
        <v>0</v>
      </c>
      <c r="S58" s="1"/>
      <c r="T58" s="1">
        <f>SUM(OSRRefT22_10x_0)</f>
        <v>2400</v>
      </c>
      <c r="U58" s="1"/>
      <c r="V58" s="5">
        <f t="shared" si="29"/>
        <v>0</v>
      </c>
      <c r="W58" s="1"/>
      <c r="X58" s="1">
        <f t="shared" si="30"/>
        <v>157.84999999999991</v>
      </c>
      <c r="Y58" s="1"/>
      <c r="Z58" s="5">
        <f t="shared" si="31"/>
        <v>6.5770833333333292E-2</v>
      </c>
    </row>
    <row r="59" spans="1:26" s="24" customFormat="1" hidden="1" outlineLevel="2" x14ac:dyDescent="0.3">
      <c r="A59" s="29"/>
      <c r="B59" s="11" t="str">
        <f>CONCATENATE("          ", "6309", " - ", "TELEPHONE")</f>
        <v xml:space="preserve">          6309 - TELEPHONE</v>
      </c>
      <c r="C59" s="11"/>
      <c r="D59" s="6">
        <v>345.35</v>
      </c>
      <c r="E59" s="2"/>
      <c r="F59" s="7">
        <f t="shared" si="24"/>
        <v>0</v>
      </c>
      <c r="G59" s="2"/>
      <c r="H59" s="6">
        <v>400</v>
      </c>
      <c r="I59" s="2"/>
      <c r="J59" s="7">
        <f t="shared" si="25"/>
        <v>0</v>
      </c>
      <c r="K59" s="2"/>
      <c r="L59" s="6">
        <f t="shared" si="26"/>
        <v>-54.649999999999977</v>
      </c>
      <c r="M59" s="2"/>
      <c r="N59" s="7">
        <f t="shared" si="27"/>
        <v>-0.13662499999999994</v>
      </c>
      <c r="O59" s="11"/>
      <c r="P59" s="6">
        <v>2557.85</v>
      </c>
      <c r="Q59" s="2"/>
      <c r="R59" s="7">
        <f t="shared" si="28"/>
        <v>0</v>
      </c>
      <c r="S59" s="2"/>
      <c r="T59" s="6">
        <v>2400</v>
      </c>
      <c r="U59" s="2"/>
      <c r="V59" s="7">
        <f t="shared" si="29"/>
        <v>0</v>
      </c>
      <c r="W59" s="2"/>
      <c r="X59" s="6">
        <f t="shared" si="30"/>
        <v>157.84999999999991</v>
      </c>
      <c r="Y59" s="2"/>
      <c r="Z59" s="7">
        <f t="shared" si="31"/>
        <v>6.5770833333333292E-2</v>
      </c>
    </row>
    <row r="60" spans="1:26" s="28" customFormat="1" outlineLevel="1" collapsed="1" x14ac:dyDescent="0.3">
      <c r="A60" s="27"/>
      <c r="B60" s="14" t="str">
        <f>CONCATENATE("     ","Training                                          ")</f>
        <v xml:space="preserve">     Training                                          </v>
      </c>
      <c r="C60" s="14"/>
      <c r="D60" s="1">
        <f>SUM(OSRRefD22_11x_0)</f>
        <v>0</v>
      </c>
      <c r="E60" s="1"/>
      <c r="F60" s="5">
        <f t="shared" si="24"/>
        <v>0</v>
      </c>
      <c r="G60" s="1"/>
      <c r="H60" s="1">
        <f>SUM(OSRRefH22_11x_0)</f>
        <v>0</v>
      </c>
      <c r="I60" s="1"/>
      <c r="J60" s="5">
        <f t="shared" si="25"/>
        <v>0</v>
      </c>
      <c r="K60" s="1"/>
      <c r="L60" s="1">
        <f t="shared" si="26"/>
        <v>0</v>
      </c>
      <c r="M60" s="1"/>
      <c r="N60" s="5">
        <f t="shared" si="27"/>
        <v>0</v>
      </c>
      <c r="O60" s="14"/>
      <c r="P60" s="1">
        <f>SUM(OSRRefP22_11x_0)</f>
        <v>595</v>
      </c>
      <c r="Q60" s="1"/>
      <c r="R60" s="5">
        <f t="shared" si="28"/>
        <v>0</v>
      </c>
      <c r="S60" s="1"/>
      <c r="T60" s="1">
        <f>SUM(OSRRefT22_11x_0)</f>
        <v>0</v>
      </c>
      <c r="U60" s="1"/>
      <c r="V60" s="5">
        <f t="shared" si="29"/>
        <v>0</v>
      </c>
      <c r="W60" s="1"/>
      <c r="X60" s="1">
        <f t="shared" si="30"/>
        <v>595</v>
      </c>
      <c r="Y60" s="1"/>
      <c r="Z60" s="5">
        <f t="shared" si="31"/>
        <v>0</v>
      </c>
    </row>
    <row r="61" spans="1:26" s="24" customFormat="1" hidden="1" outlineLevel="2" x14ac:dyDescent="0.3">
      <c r="A61" s="29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24"/>
        <v>0</v>
      </c>
      <c r="G61" s="2"/>
      <c r="H61" s="6">
        <v>0</v>
      </c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595</v>
      </c>
      <c r="Q61" s="2"/>
      <c r="R61" s="7">
        <f t="shared" si="28"/>
        <v>0</v>
      </c>
      <c r="S61" s="2"/>
      <c r="T61" s="6">
        <v>0</v>
      </c>
      <c r="U61" s="2"/>
      <c r="V61" s="7">
        <f t="shared" si="29"/>
        <v>0</v>
      </c>
      <c r="W61" s="2"/>
      <c r="X61" s="6">
        <f t="shared" si="30"/>
        <v>595</v>
      </c>
      <c r="Y61" s="2"/>
      <c r="Z61" s="7">
        <f t="shared" si="31"/>
        <v>0</v>
      </c>
    </row>
    <row r="62" spans="1:26" s="28" customFormat="1" outlineLevel="1" collapsed="1" x14ac:dyDescent="0.3">
      <c r="A62" s="27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SUM(OSRRefD22_12x_0)</f>
        <v>0</v>
      </c>
      <c r="E62" s="1"/>
      <c r="F62" s="5">
        <f t="shared" si="24"/>
        <v>0</v>
      </c>
      <c r="G62" s="1"/>
      <c r="H62" s="1">
        <f>SUM(OSRRefH22_12x_0)</f>
        <v>0</v>
      </c>
      <c r="I62" s="1"/>
      <c r="J62" s="5">
        <f t="shared" si="25"/>
        <v>0</v>
      </c>
      <c r="K62" s="1"/>
      <c r="L62" s="1">
        <f t="shared" si="26"/>
        <v>0</v>
      </c>
      <c r="M62" s="1"/>
      <c r="N62" s="5">
        <f t="shared" si="27"/>
        <v>0</v>
      </c>
      <c r="O62" s="14"/>
      <c r="P62" s="1">
        <f>SUM(OSRRefP22_12x_0)</f>
        <v>30.4</v>
      </c>
      <c r="Q62" s="1"/>
      <c r="R62" s="5">
        <f t="shared" si="28"/>
        <v>0</v>
      </c>
      <c r="S62" s="1"/>
      <c r="T62" s="1">
        <f>SUM(OSRRefT22_12x_0)</f>
        <v>0</v>
      </c>
      <c r="U62" s="1"/>
      <c r="V62" s="5">
        <f t="shared" si="29"/>
        <v>0</v>
      </c>
      <c r="W62" s="1"/>
      <c r="X62" s="1">
        <f t="shared" si="30"/>
        <v>30.4</v>
      </c>
      <c r="Y62" s="1"/>
      <c r="Z62" s="5">
        <f t="shared" si="31"/>
        <v>0</v>
      </c>
    </row>
    <row r="63" spans="1:26" s="24" customFormat="1" hidden="1" outlineLevel="2" x14ac:dyDescent="0.3">
      <c r="A63" s="29"/>
      <c r="B63" s="11" t="str">
        <f>CONCATENATE("          ", "6294", " - ", "TRAVEL OPERATIONAL")</f>
        <v xml:space="preserve">          6294 - TRAVEL OPERATIONAL</v>
      </c>
      <c r="C63" s="11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1"/>
      <c r="P63" s="6">
        <v>30.4</v>
      </c>
      <c r="Q63" s="2"/>
      <c r="R63" s="7">
        <f t="shared" si="28"/>
        <v>0</v>
      </c>
      <c r="S63" s="2"/>
      <c r="T63" s="6"/>
      <c r="U63" s="2"/>
      <c r="V63" s="7">
        <f t="shared" si="29"/>
        <v>0</v>
      </c>
      <c r="W63" s="2"/>
      <c r="X63" s="6">
        <f t="shared" si="30"/>
        <v>30.4</v>
      </c>
      <c r="Y63" s="2"/>
      <c r="Z63" s="7">
        <f t="shared" si="31"/>
        <v>0</v>
      </c>
    </row>
    <row r="64" spans="1:26" s="55" customFormat="1" x14ac:dyDescent="0.3">
      <c r="A64" s="36"/>
      <c r="B64" s="36"/>
      <c r="C64" s="36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3">
      <c r="A65" s="10"/>
      <c r="B65" s="25" t="s">
        <v>293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3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">
      <c r="A67" s="10"/>
      <c r="B67" s="26" t="s">
        <v>277</v>
      </c>
      <c r="C67" s="26"/>
      <c r="D67" s="20">
        <f>+D16-D18+D65</f>
        <v>-38170.729999999989</v>
      </c>
      <c r="E67" s="13"/>
      <c r="F67" s="22">
        <f>IF(D$12=0,0,D67/D$12)</f>
        <v>0</v>
      </c>
      <c r="G67" s="13"/>
      <c r="H67" s="20">
        <f>+H16-H18+H65</f>
        <v>-37946.109144307673</v>
      </c>
      <c r="I67" s="13"/>
      <c r="J67" s="22">
        <f>IF(H$12=0,0,H67/H$12)</f>
        <v>0</v>
      </c>
      <c r="K67" s="16"/>
      <c r="L67" s="20">
        <f>+D67-H67</f>
        <v>-224.62085569231567</v>
      </c>
      <c r="M67" s="16"/>
      <c r="N67" s="22">
        <f>IF(H67=0,0,L67/H67)</f>
        <v>5.9194700262440803E-3</v>
      </c>
      <c r="O67" s="25"/>
      <c r="P67" s="20">
        <f>+P16-P18+P65</f>
        <v>-243048.88999999998</v>
      </c>
      <c r="Q67" s="13"/>
      <c r="R67" s="22">
        <f>IF(P$12=0,0,P67/P$12)</f>
        <v>0</v>
      </c>
      <c r="S67" s="13"/>
      <c r="T67" s="20">
        <f>+T16-T18+T65</f>
        <v>-236388.30143799985</v>
      </c>
      <c r="U67" s="13"/>
      <c r="V67" s="22">
        <f>IF(T$12=0,0,T67/T$12)</f>
        <v>0</v>
      </c>
      <c r="W67" s="16"/>
      <c r="X67" s="20">
        <f>+P67-T67</f>
        <v>-6660.5885620001354</v>
      </c>
      <c r="Y67" s="16"/>
      <c r="Z67" s="22">
        <f>IF(T67=0,0,X67/T67)</f>
        <v>2.817647286892952E-2</v>
      </c>
    </row>
    <row r="68" spans="1:26" x14ac:dyDescent="0.3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3">
      <c r="A69" s="52"/>
      <c r="B69" s="10" t="s">
        <v>128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3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" thickBot="1" x14ac:dyDescent="0.35">
      <c r="A71" s="10"/>
      <c r="B71" s="26" t="s">
        <v>126</v>
      </c>
      <c r="C71" s="26"/>
      <c r="D71" s="31">
        <f>+D67-D69</f>
        <v>-38170.729999999989</v>
      </c>
      <c r="E71" s="13"/>
      <c r="F71" s="30">
        <f>IF(D$12=0,0,D71/D$12)</f>
        <v>0</v>
      </c>
      <c r="G71" s="13"/>
      <c r="H71" s="31">
        <f>+H67-H69</f>
        <v>-37946.109144307673</v>
      </c>
      <c r="I71" s="13"/>
      <c r="J71" s="30">
        <f>IF(H$12=0,0,H71/H$12)</f>
        <v>0</v>
      </c>
      <c r="K71" s="16"/>
      <c r="L71" s="31">
        <f>D71-H71</f>
        <v>-224.62085569231567</v>
      </c>
      <c r="M71" s="16"/>
      <c r="N71" s="30">
        <f>IF(H71=0,0,L71/H71)</f>
        <v>5.9194700262440803E-3</v>
      </c>
      <c r="O71" s="25"/>
      <c r="P71" s="31">
        <f>+P67-P69</f>
        <v>-243048.88999999998</v>
      </c>
      <c r="Q71" s="13"/>
      <c r="R71" s="30">
        <f>IF(P$12=0,0,P71/P$12)</f>
        <v>0</v>
      </c>
      <c r="S71" s="13"/>
      <c r="T71" s="31">
        <f>+T67-T69</f>
        <v>-236388.30143799985</v>
      </c>
      <c r="U71" s="13"/>
      <c r="V71" s="30">
        <f>IF(T$12=0,0,T71/T$12)</f>
        <v>0</v>
      </c>
      <c r="W71" s="16"/>
      <c r="X71" s="31">
        <f>P71-T71</f>
        <v>-6660.5885620001354</v>
      </c>
      <c r="Y71" s="16"/>
      <c r="Z71" s="30">
        <f>IF(T71=0,0,X71/T71)</f>
        <v>2.817647286892952E-2</v>
      </c>
    </row>
    <row r="72" spans="1:26" ht="15" thickTop="1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3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35">
      <c r="A74" s="10"/>
      <c r="B74" s="26" t="s">
        <v>294</v>
      </c>
      <c r="C74" s="26"/>
      <c r="D74" s="35">
        <f>SUM(D71:D73)</f>
        <v>-38170.729999999989</v>
      </c>
      <c r="E74" s="13"/>
      <c r="F74" s="34">
        <f>IF(D$12=0,0,D74/D$12)</f>
        <v>0</v>
      </c>
      <c r="G74" s="13"/>
      <c r="H74" s="35">
        <f>SUM(H71:H73)</f>
        <v>-37946.109144307673</v>
      </c>
      <c r="I74" s="13"/>
      <c r="J74" s="34">
        <f>IF(H$12=0,0,H74/H$12)</f>
        <v>0</v>
      </c>
      <c r="K74" s="16"/>
      <c r="L74" s="35">
        <f>+D74-H74</f>
        <v>-224.62085569231567</v>
      </c>
      <c r="M74" s="16"/>
      <c r="N74" s="34">
        <f>IF(H74=0,0,L74/H74)</f>
        <v>5.9194700262440803E-3</v>
      </c>
      <c r="O74" s="25"/>
      <c r="P74" s="35">
        <f>SUM(P71:P73)</f>
        <v>-243048.88999999998</v>
      </c>
      <c r="Q74" s="13"/>
      <c r="R74" s="34">
        <f>IF(P$12=0,0,P74/P$12)</f>
        <v>0</v>
      </c>
      <c r="S74" s="13"/>
      <c r="T74" s="35">
        <f>SUM(T71:T73)</f>
        <v>-236388.30143799985</v>
      </c>
      <c r="U74" s="13"/>
      <c r="V74" s="34">
        <f>IF(T$12=0,0,T74/T$12)</f>
        <v>0</v>
      </c>
      <c r="W74" s="16"/>
      <c r="X74" s="35">
        <f>+P74-T74</f>
        <v>-6660.5885620001354</v>
      </c>
      <c r="Y74" s="16"/>
      <c r="Z74" s="34">
        <f>IF(T74=0,0,X74/T74)</f>
        <v>2.817647286892952E-2</v>
      </c>
    </row>
    <row r="75" spans="1:26" ht="15" thickTop="1" x14ac:dyDescent="0.3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3">
      <c r="A76" s="9"/>
      <c r="B76" s="61">
        <v>44575.842125659721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3">
      <c r="A77" s="9"/>
      <c r="B77" s="62" t="s">
        <v>56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">
      <c r="A78" s="9"/>
      <c r="B78" s="53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","203", " - ", "Human Resources")</f>
        <v>Department 203 - Human Resources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55888.94</v>
      </c>
      <c r="E18" s="21"/>
      <c r="F18" s="32">
        <f t="shared" ref="F18:F29" si="0">IF(D$12=0,0,D18/D$12)</f>
        <v>0</v>
      </c>
      <c r="G18" s="21"/>
      <c r="H18" s="21">
        <f>SUM(OSRRefH22x_0)</f>
        <v>46434.26516968615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9454.674830313852</v>
      </c>
      <c r="M18" s="4"/>
      <c r="N18" s="32">
        <f t="shared" ref="N18:N29" si="3">IF(H18=0,0,L18/H18)</f>
        <v>0.20361418008368057</v>
      </c>
      <c r="O18" s="10"/>
      <c r="P18" s="21">
        <f>SUM(OSRRefP22x_0)</f>
        <v>319734.90000000002</v>
      </c>
      <c r="Q18" s="21"/>
      <c r="R18" s="32">
        <f t="shared" ref="R18:R29" si="4">IF(P$12=0,0,P18/P$12)</f>
        <v>0</v>
      </c>
      <c r="S18" s="21"/>
      <c r="T18" s="21">
        <f>SUM(OSRRefT22x_0)</f>
        <v>295772.72360296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23962.176397040021</v>
      </c>
      <c r="Y18" s="4"/>
      <c r="Z18" s="32">
        <f t="shared" ref="Z18:Z29" si="7">IF(T18=0,0,X18/T18)</f>
        <v>8.1015504422261797E-2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16913.25</v>
      </c>
      <c r="E19" s="1"/>
      <c r="F19" s="5">
        <f t="shared" si="0"/>
        <v>0</v>
      </c>
      <c r="G19" s="1"/>
      <c r="H19" s="1">
        <f>SUM(OSRRefH22_0x_0)</f>
        <v>11218.47940968615</v>
      </c>
      <c r="I19" s="1"/>
      <c r="J19" s="5">
        <f t="shared" si="1"/>
        <v>0</v>
      </c>
      <c r="K19" s="1"/>
      <c r="L19" s="1">
        <f t="shared" si="2"/>
        <v>5694.7705903138503</v>
      </c>
      <c r="M19" s="1"/>
      <c r="N19" s="5">
        <f t="shared" si="3"/>
        <v>0.50762410682832182</v>
      </c>
      <c r="O19" s="14"/>
      <c r="P19" s="1">
        <f>SUM(OSRRefP22_0x_0)</f>
        <v>88086.939999999988</v>
      </c>
      <c r="Q19" s="1"/>
      <c r="R19" s="5">
        <f t="shared" si="4"/>
        <v>0</v>
      </c>
      <c r="S19" s="1"/>
      <c r="T19" s="1">
        <f>SUM(OSRRefT22_0x_0)</f>
        <v>71373.116162959996</v>
      </c>
      <c r="U19" s="1"/>
      <c r="V19" s="5">
        <f t="shared" si="5"/>
        <v>0</v>
      </c>
      <c r="W19" s="1"/>
      <c r="X19" s="1">
        <f t="shared" si="6"/>
        <v>16713.823837039992</v>
      </c>
      <c r="Y19" s="1"/>
      <c r="Z19" s="5">
        <f t="shared" si="7"/>
        <v>0.23417534129907933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>
        <v>2257.63</v>
      </c>
      <c r="E20" s="2"/>
      <c r="F20" s="7">
        <f t="shared" si="0"/>
        <v>0</v>
      </c>
      <c r="G20" s="2"/>
      <c r="H20" s="6">
        <v>1560.2483342400001</v>
      </c>
      <c r="I20" s="2"/>
      <c r="J20" s="7">
        <f t="shared" si="1"/>
        <v>0</v>
      </c>
      <c r="K20" s="2"/>
      <c r="L20" s="6">
        <f t="shared" si="2"/>
        <v>697.38166576000003</v>
      </c>
      <c r="M20" s="2"/>
      <c r="N20" s="7">
        <f t="shared" si="3"/>
        <v>0.44696837705626902</v>
      </c>
      <c r="O20" s="11"/>
      <c r="P20" s="6">
        <v>14038.98</v>
      </c>
      <c r="Q20" s="2"/>
      <c r="R20" s="7">
        <f t="shared" si="4"/>
        <v>0</v>
      </c>
      <c r="S20" s="2"/>
      <c r="T20" s="6">
        <v>10141.614172559999</v>
      </c>
      <c r="U20" s="2"/>
      <c r="V20" s="7">
        <f t="shared" si="5"/>
        <v>0</v>
      </c>
      <c r="W20" s="2"/>
      <c r="X20" s="6">
        <f t="shared" si="6"/>
        <v>3897.3658274400004</v>
      </c>
      <c r="Y20" s="2"/>
      <c r="Z20" s="7">
        <f t="shared" si="7"/>
        <v>0.38429442898597344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375.29</v>
      </c>
      <c r="E21" s="2"/>
      <c r="F21" s="7">
        <f t="shared" si="0"/>
        <v>0</v>
      </c>
      <c r="G21" s="2"/>
      <c r="H21" s="6">
        <v>81.800964800000003</v>
      </c>
      <c r="I21" s="2"/>
      <c r="J21" s="7">
        <f t="shared" si="1"/>
        <v>0</v>
      </c>
      <c r="K21" s="2"/>
      <c r="L21" s="6">
        <f t="shared" si="2"/>
        <v>293.48903519999999</v>
      </c>
      <c r="M21" s="2"/>
      <c r="N21" s="7">
        <f t="shared" si="3"/>
        <v>3.5878431986415884</v>
      </c>
      <c r="O21" s="11"/>
      <c r="P21" s="6">
        <v>2350.71</v>
      </c>
      <c r="Q21" s="2"/>
      <c r="R21" s="7">
        <f t="shared" si="4"/>
        <v>0</v>
      </c>
      <c r="S21" s="2"/>
      <c r="T21" s="6">
        <v>531.70627119999995</v>
      </c>
      <c r="U21" s="2"/>
      <c r="V21" s="7">
        <f t="shared" si="5"/>
        <v>0</v>
      </c>
      <c r="W21" s="2"/>
      <c r="X21" s="6">
        <f t="shared" si="6"/>
        <v>1819.0037288000001</v>
      </c>
      <c r="Y21" s="2"/>
      <c r="Z21" s="7">
        <f t="shared" si="7"/>
        <v>3.4210687880259862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>
        <v>6048.94</v>
      </c>
      <c r="E22" s="2"/>
      <c r="F22" s="7">
        <f t="shared" si="0"/>
        <v>0</v>
      </c>
      <c r="G22" s="2"/>
      <c r="H22" s="6">
        <v>6238.8461538461497</v>
      </c>
      <c r="I22" s="2"/>
      <c r="J22" s="7">
        <f t="shared" si="1"/>
        <v>0</v>
      </c>
      <c r="K22" s="2"/>
      <c r="L22" s="6">
        <f t="shared" si="2"/>
        <v>-189.90615384615012</v>
      </c>
      <c r="M22" s="2"/>
      <c r="N22" s="7">
        <f t="shared" si="3"/>
        <v>-3.043930707108012E-2</v>
      </c>
      <c r="O22" s="11"/>
      <c r="P22" s="6">
        <v>36327.39</v>
      </c>
      <c r="Q22" s="2"/>
      <c r="R22" s="7">
        <f t="shared" si="4"/>
        <v>0</v>
      </c>
      <c r="S22" s="2"/>
      <c r="T22" s="6">
        <v>39564</v>
      </c>
      <c r="U22" s="2"/>
      <c r="V22" s="7">
        <f t="shared" si="5"/>
        <v>0</v>
      </c>
      <c r="W22" s="2"/>
      <c r="X22" s="6">
        <f t="shared" si="6"/>
        <v>-3236.6100000000006</v>
      </c>
      <c r="Y22" s="2"/>
      <c r="Z22" s="7">
        <f t="shared" si="7"/>
        <v>-8.1806945708219614E-2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75.64</v>
      </c>
      <c r="E23" s="2"/>
      <c r="F23" s="7">
        <f t="shared" si="0"/>
        <v>0</v>
      </c>
      <c r="G23" s="2"/>
      <c r="H23" s="6">
        <v>55.413556800000002</v>
      </c>
      <c r="I23" s="2"/>
      <c r="J23" s="7">
        <f t="shared" si="1"/>
        <v>0</v>
      </c>
      <c r="K23" s="2"/>
      <c r="L23" s="6">
        <f t="shared" si="2"/>
        <v>20.226443199999999</v>
      </c>
      <c r="M23" s="2"/>
      <c r="N23" s="7">
        <f t="shared" si="3"/>
        <v>0.36500893225464276</v>
      </c>
      <c r="O23" s="11"/>
      <c r="P23" s="6">
        <v>473.79</v>
      </c>
      <c r="Q23" s="2"/>
      <c r="R23" s="7">
        <f t="shared" si="4"/>
        <v>0</v>
      </c>
      <c r="S23" s="2"/>
      <c r="T23" s="6">
        <v>360.18811920000002</v>
      </c>
      <c r="U23" s="2"/>
      <c r="V23" s="7">
        <f t="shared" si="5"/>
        <v>0</v>
      </c>
      <c r="W23" s="2"/>
      <c r="X23" s="6">
        <f t="shared" si="6"/>
        <v>113.6018808</v>
      </c>
      <c r="Y23" s="2"/>
      <c r="Z23" s="7">
        <f t="shared" si="7"/>
        <v>0.31539596878519138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>
        <v>1287.54</v>
      </c>
      <c r="E24" s="2"/>
      <c r="F24" s="7">
        <f t="shared" si="0"/>
        <v>0</v>
      </c>
      <c r="G24" s="2"/>
      <c r="H24" s="6">
        <v>885.8</v>
      </c>
      <c r="I24" s="2"/>
      <c r="J24" s="7">
        <f t="shared" si="1"/>
        <v>0</v>
      </c>
      <c r="K24" s="2"/>
      <c r="L24" s="6">
        <f t="shared" si="2"/>
        <v>401.74</v>
      </c>
      <c r="M24" s="2"/>
      <c r="N24" s="7">
        <f t="shared" si="3"/>
        <v>0.45353352901332133</v>
      </c>
      <c r="O24" s="11"/>
      <c r="P24" s="6">
        <v>8146.17</v>
      </c>
      <c r="Q24" s="2"/>
      <c r="R24" s="7">
        <f t="shared" si="4"/>
        <v>0</v>
      </c>
      <c r="S24" s="2"/>
      <c r="T24" s="6">
        <v>5757.7</v>
      </c>
      <c r="U24" s="2"/>
      <c r="V24" s="7">
        <f t="shared" si="5"/>
        <v>0</v>
      </c>
      <c r="W24" s="2"/>
      <c r="X24" s="6">
        <f t="shared" si="6"/>
        <v>2388.4700000000003</v>
      </c>
      <c r="Y24" s="2"/>
      <c r="Z24" s="7">
        <f t="shared" si="7"/>
        <v>0.41483057470865109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>
        <v>2636</v>
      </c>
      <c r="E25" s="2"/>
      <c r="F25" s="7">
        <f t="shared" si="0"/>
        <v>0</v>
      </c>
      <c r="G25" s="2"/>
      <c r="H25" s="6">
        <v>417</v>
      </c>
      <c r="I25" s="2"/>
      <c r="J25" s="7">
        <f t="shared" si="1"/>
        <v>0</v>
      </c>
      <c r="K25" s="2"/>
      <c r="L25" s="6">
        <f t="shared" si="2"/>
        <v>2219</v>
      </c>
      <c r="M25" s="2"/>
      <c r="N25" s="7">
        <f t="shared" si="3"/>
        <v>5.3213429256594722</v>
      </c>
      <c r="O25" s="11"/>
      <c r="P25" s="6">
        <v>2636</v>
      </c>
      <c r="Q25" s="2"/>
      <c r="R25" s="7">
        <f t="shared" si="4"/>
        <v>0</v>
      </c>
      <c r="S25" s="2"/>
      <c r="T25" s="6">
        <v>2502</v>
      </c>
      <c r="U25" s="2"/>
      <c r="V25" s="7">
        <f t="shared" si="5"/>
        <v>0</v>
      </c>
      <c r="W25" s="2"/>
      <c r="X25" s="6">
        <f t="shared" si="6"/>
        <v>134</v>
      </c>
      <c r="Y25" s="2"/>
      <c r="Z25" s="7">
        <f t="shared" si="7"/>
        <v>5.3557154276578735E-2</v>
      </c>
    </row>
    <row r="26" spans="1:26" s="24" customFormat="1" hidden="1" outlineLevel="2" x14ac:dyDescent="0.3">
      <c r="A26" s="29"/>
      <c r="B26" s="11" t="str">
        <f>CONCATENATE("          ", "6117", " - ", "RETIREMENT STAFF HOURLY")</f>
        <v xml:space="preserve">          6117 - RETIREMENT STAFF HOURLY</v>
      </c>
      <c r="C26" s="11"/>
      <c r="D26" s="6">
        <v>654.36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654.36</v>
      </c>
      <c r="M26" s="2"/>
      <c r="N26" s="7">
        <f t="shared" si="3"/>
        <v>0</v>
      </c>
      <c r="O26" s="11"/>
      <c r="P26" s="6">
        <v>3781.36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3781.36</v>
      </c>
      <c r="Y26" s="2"/>
      <c r="Z26" s="7">
        <f t="shared" si="7"/>
        <v>0</v>
      </c>
    </row>
    <row r="27" spans="1:26" s="24" customFormat="1" hidden="1" outlineLevel="2" x14ac:dyDescent="0.3">
      <c r="A27" s="29"/>
      <c r="B27" s="11" t="str">
        <f>CONCATENATE("          ", "6118", " - ", "VACATION")</f>
        <v xml:space="preserve">          6118 - VACATION</v>
      </c>
      <c r="C27" s="11"/>
      <c r="D27" s="6">
        <v>1986.81</v>
      </c>
      <c r="E27" s="2"/>
      <c r="F27" s="7">
        <f t="shared" si="0"/>
        <v>0</v>
      </c>
      <c r="G27" s="2"/>
      <c r="H27" s="6">
        <v>731.62224000000003</v>
      </c>
      <c r="I27" s="2"/>
      <c r="J27" s="7">
        <f t="shared" si="1"/>
        <v>0</v>
      </c>
      <c r="K27" s="2"/>
      <c r="L27" s="6">
        <f t="shared" si="2"/>
        <v>1255.1877599999998</v>
      </c>
      <c r="M27" s="2"/>
      <c r="N27" s="7">
        <f t="shared" si="3"/>
        <v>1.7156227508884909</v>
      </c>
      <c r="O27" s="11"/>
      <c r="P27" s="6">
        <v>11302.55</v>
      </c>
      <c r="Q27" s="2"/>
      <c r="R27" s="7">
        <f t="shared" si="4"/>
        <v>0</v>
      </c>
      <c r="S27" s="2"/>
      <c r="T27" s="6">
        <v>4755.5445600000003</v>
      </c>
      <c r="U27" s="2"/>
      <c r="V27" s="7">
        <f t="shared" si="5"/>
        <v>0</v>
      </c>
      <c r="W27" s="2"/>
      <c r="X27" s="6">
        <f t="shared" si="6"/>
        <v>6547.005439999999</v>
      </c>
      <c r="Y27" s="2"/>
      <c r="Z27" s="7">
        <f t="shared" si="7"/>
        <v>1.3767099345611007</v>
      </c>
    </row>
    <row r="28" spans="1:26" s="24" customFormat="1" hidden="1" outlineLevel="2" x14ac:dyDescent="0.3">
      <c r="A28" s="29"/>
      <c r="B28" s="11" t="str">
        <f>CONCATENATE("          ", "6119", " - ", "SICK LEAVE")</f>
        <v xml:space="preserve">          6119 - SICK LEAVE</v>
      </c>
      <c r="C28" s="11"/>
      <c r="D28" s="6">
        <v>1329.74</v>
      </c>
      <c r="E28" s="2"/>
      <c r="F28" s="7">
        <f t="shared" si="0"/>
        <v>0</v>
      </c>
      <c r="G28" s="2"/>
      <c r="H28" s="6">
        <v>547.74815999999998</v>
      </c>
      <c r="I28" s="2"/>
      <c r="J28" s="7">
        <f t="shared" si="1"/>
        <v>0</v>
      </c>
      <c r="K28" s="2"/>
      <c r="L28" s="6">
        <f t="shared" si="2"/>
        <v>781.99184000000002</v>
      </c>
      <c r="M28" s="2"/>
      <c r="N28" s="7">
        <f t="shared" si="3"/>
        <v>1.4276485018224434</v>
      </c>
      <c r="O28" s="11"/>
      <c r="P28" s="6">
        <v>7762.12</v>
      </c>
      <c r="Q28" s="2"/>
      <c r="R28" s="7">
        <f t="shared" si="4"/>
        <v>0</v>
      </c>
      <c r="S28" s="2"/>
      <c r="T28" s="6">
        <v>3560.3630400000002</v>
      </c>
      <c r="U28" s="2"/>
      <c r="V28" s="7">
        <f t="shared" si="5"/>
        <v>0</v>
      </c>
      <c r="W28" s="2"/>
      <c r="X28" s="6">
        <f t="shared" si="6"/>
        <v>4201.7569599999997</v>
      </c>
      <c r="Y28" s="2"/>
      <c r="Z28" s="7">
        <f t="shared" si="7"/>
        <v>1.1801484603659966</v>
      </c>
    </row>
    <row r="29" spans="1:26" s="24" customFormat="1" hidden="1" outlineLevel="2" x14ac:dyDescent="0.3">
      <c r="A29" s="29"/>
      <c r="B29" s="11" t="str">
        <f>CONCATENATE("          ", "6156", " - ", "EMPLOYEE MEALS")</f>
        <v xml:space="preserve">          6156 - EMPLOYEE MEALS</v>
      </c>
      <c r="C29" s="11"/>
      <c r="D29" s="6">
        <v>261.3</v>
      </c>
      <c r="E29" s="2"/>
      <c r="F29" s="7">
        <f t="shared" si="0"/>
        <v>0</v>
      </c>
      <c r="G29" s="2"/>
      <c r="H29" s="6">
        <v>700</v>
      </c>
      <c r="I29" s="2"/>
      <c r="J29" s="7">
        <f t="shared" si="1"/>
        <v>0</v>
      </c>
      <c r="K29" s="2"/>
      <c r="L29" s="6">
        <f t="shared" si="2"/>
        <v>-438.7</v>
      </c>
      <c r="M29" s="2"/>
      <c r="N29" s="7">
        <f t="shared" si="3"/>
        <v>-0.62671428571428567</v>
      </c>
      <c r="O29" s="11"/>
      <c r="P29" s="6">
        <v>1267.8699999999999</v>
      </c>
      <c r="Q29" s="2"/>
      <c r="R29" s="7">
        <f t="shared" si="4"/>
        <v>0</v>
      </c>
      <c r="S29" s="2"/>
      <c r="T29" s="6">
        <v>4200</v>
      </c>
      <c r="U29" s="2"/>
      <c r="V29" s="7">
        <f t="shared" si="5"/>
        <v>0</v>
      </c>
      <c r="W29" s="2"/>
      <c r="X29" s="6">
        <f t="shared" si="6"/>
        <v>-2932.13</v>
      </c>
      <c r="Y29" s="2"/>
      <c r="Z29" s="7">
        <f t="shared" si="7"/>
        <v>-0.69812619047619051</v>
      </c>
    </row>
    <row r="30" spans="1:26" s="28" customFormat="1" outlineLevel="1" collapsed="1" x14ac:dyDescent="0.3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28164.43</v>
      </c>
      <c r="E30" s="1"/>
      <c r="F30" s="5">
        <f t="shared" ref="F30:F40" si="8">IF(D$12=0,0,D30/D$12)</f>
        <v>0</v>
      </c>
      <c r="G30" s="1"/>
      <c r="H30" s="1">
        <f>SUM(OSRRefH22_1x_0)</f>
        <v>23449.785759999999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4714.6442400000014</v>
      </c>
      <c r="M30" s="1"/>
      <c r="N30" s="5">
        <f t="shared" ref="N30:N40" si="11">IF(H30=0,0,L30/H30)</f>
        <v>0.20105276390380131</v>
      </c>
      <c r="O30" s="14"/>
      <c r="P30" s="1">
        <f>SUM(OSRRefP22_1x_0)</f>
        <v>170498.69999999998</v>
      </c>
      <c r="Q30" s="1"/>
      <c r="R30" s="5">
        <f t="shared" ref="R30:R40" si="12">IF(P$12=0,0,P30/P$12)</f>
        <v>0</v>
      </c>
      <c r="S30" s="1"/>
      <c r="T30" s="1">
        <f>SUM(OSRRefT22_1x_0)</f>
        <v>152423.60743999999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18075.09255999999</v>
      </c>
      <c r="Y30" s="1"/>
      <c r="Z30" s="5">
        <f t="shared" ref="Z30:Z40" si="15">IF(T30=0,0,X30/T30)</f>
        <v>0.11858460027010624</v>
      </c>
    </row>
    <row r="31" spans="1:26" s="24" customFormat="1" hidden="1" outlineLevel="2" x14ac:dyDescent="0.3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>
        <v>11242.34</v>
      </c>
      <c r="E31" s="2"/>
      <c r="F31" s="7">
        <f t="shared" si="8"/>
        <v>0</v>
      </c>
      <c r="G31" s="2"/>
      <c r="H31" s="6">
        <v>9785</v>
      </c>
      <c r="I31" s="2"/>
      <c r="J31" s="7">
        <f t="shared" si="9"/>
        <v>0</v>
      </c>
      <c r="K31" s="2"/>
      <c r="L31" s="6">
        <f t="shared" si="10"/>
        <v>1457.3400000000001</v>
      </c>
      <c r="M31" s="2"/>
      <c r="N31" s="7">
        <f t="shared" si="11"/>
        <v>0.14893612672457845</v>
      </c>
      <c r="O31" s="11"/>
      <c r="P31" s="6">
        <v>66725.759999999995</v>
      </c>
      <c r="Q31" s="2"/>
      <c r="R31" s="7">
        <f t="shared" si="12"/>
        <v>0</v>
      </c>
      <c r="S31" s="2"/>
      <c r="T31" s="6">
        <v>63602.5</v>
      </c>
      <c r="U31" s="2"/>
      <c r="V31" s="7">
        <f t="shared" si="13"/>
        <v>0</v>
      </c>
      <c r="W31" s="2"/>
      <c r="X31" s="6">
        <f t="shared" si="14"/>
        <v>3123.2599999999948</v>
      </c>
      <c r="Y31" s="2"/>
      <c r="Z31" s="7">
        <f t="shared" si="15"/>
        <v>4.9105931370622143E-2</v>
      </c>
    </row>
    <row r="32" spans="1:26" s="24" customFormat="1" hidden="1" outlineLevel="2" x14ac:dyDescent="0.3">
      <c r="A32" s="29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18.5</v>
      </c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18.5</v>
      </c>
      <c r="Y32" s="2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"6004", " - ", "STAFF HOURLY")</f>
        <v xml:space="preserve">          6004 - STAFF HOURLY</v>
      </c>
      <c r="C34" s="11"/>
      <c r="D34" s="6">
        <v>14607.07</v>
      </c>
      <c r="E34" s="2"/>
      <c r="F34" s="7">
        <f t="shared" si="8"/>
        <v>0</v>
      </c>
      <c r="G34" s="2"/>
      <c r="H34" s="6">
        <v>9784.7857600000007</v>
      </c>
      <c r="I34" s="2"/>
      <c r="J34" s="7">
        <f t="shared" si="9"/>
        <v>0</v>
      </c>
      <c r="K34" s="2"/>
      <c r="L34" s="6">
        <f t="shared" si="10"/>
        <v>4822.284239999999</v>
      </c>
      <c r="M34" s="2"/>
      <c r="N34" s="7">
        <f t="shared" si="11"/>
        <v>0.49283493356731389</v>
      </c>
      <c r="O34" s="11"/>
      <c r="P34" s="6">
        <v>91532.28</v>
      </c>
      <c r="Q34" s="2"/>
      <c r="R34" s="7">
        <f t="shared" si="12"/>
        <v>0</v>
      </c>
      <c r="S34" s="2"/>
      <c r="T34" s="6">
        <v>63601.10744</v>
      </c>
      <c r="U34" s="2"/>
      <c r="V34" s="7">
        <f t="shared" si="13"/>
        <v>0</v>
      </c>
      <c r="W34" s="2"/>
      <c r="X34" s="6">
        <f t="shared" si="14"/>
        <v>27931.172559999999</v>
      </c>
      <c r="Y34" s="2"/>
      <c r="Z34" s="7">
        <f t="shared" si="15"/>
        <v>0.43916173293601379</v>
      </c>
    </row>
    <row r="35" spans="1:26" s="24" customFormat="1" hidden="1" outlineLevel="2" x14ac:dyDescent="0.3">
      <c r="A35" s="29"/>
      <c r="B35" s="11" t="str">
        <f>CONCATENATE("          ", "6005", " - ", "TEMPORARY WAGES-HOURLY")</f>
        <v xml:space="preserve">          6005 - TEMPORARY WAGES-HOURLY</v>
      </c>
      <c r="C35" s="11"/>
      <c r="D35" s="6">
        <v>2315.02</v>
      </c>
      <c r="E35" s="2"/>
      <c r="F35" s="7">
        <f t="shared" si="8"/>
        <v>0</v>
      </c>
      <c r="G35" s="2"/>
      <c r="H35" s="6">
        <v>3880</v>
      </c>
      <c r="I35" s="2"/>
      <c r="J35" s="7">
        <f t="shared" si="9"/>
        <v>0</v>
      </c>
      <c r="K35" s="2"/>
      <c r="L35" s="6">
        <f t="shared" si="10"/>
        <v>-1564.98</v>
      </c>
      <c r="M35" s="2"/>
      <c r="N35" s="7">
        <f t="shared" si="11"/>
        <v>-0.40334536082474226</v>
      </c>
      <c r="O35" s="11"/>
      <c r="P35" s="6">
        <v>12222.16</v>
      </c>
      <c r="Q35" s="2"/>
      <c r="R35" s="7">
        <f t="shared" si="12"/>
        <v>0</v>
      </c>
      <c r="S35" s="2"/>
      <c r="T35" s="6">
        <v>25220</v>
      </c>
      <c r="U35" s="2"/>
      <c r="V35" s="7">
        <f t="shared" si="13"/>
        <v>0</v>
      </c>
      <c r="W35" s="2"/>
      <c r="X35" s="6">
        <f t="shared" si="14"/>
        <v>-12997.84</v>
      </c>
      <c r="Y35" s="2"/>
      <c r="Z35" s="7">
        <f t="shared" si="15"/>
        <v>-0.5153782712133228</v>
      </c>
    </row>
    <row r="36" spans="1:26" s="24" customFormat="1" hidden="1" outlineLevel="2" x14ac:dyDescent="0.3">
      <c r="A36" s="29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3">
      <c r="A40" s="29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8" customFormat="1" outlineLevel="1" collapsed="1" x14ac:dyDescent="0.3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6" si="16">IF(D$12=0,0,D41/D$12)</f>
        <v>0</v>
      </c>
      <c r="G41" s="1"/>
      <c r="H41" s="1">
        <f>SUM(OSRRefH22_2x_0)</f>
        <v>150</v>
      </c>
      <c r="I41" s="1"/>
      <c r="J41" s="5">
        <f t="shared" ref="J41:J56" si="17">IF(H$12=0,0,H41/H$12)</f>
        <v>0</v>
      </c>
      <c r="K41" s="1"/>
      <c r="L41" s="1">
        <f t="shared" ref="L41:L56" si="18">+D41-H41</f>
        <v>-150</v>
      </c>
      <c r="M41" s="1"/>
      <c r="N41" s="5">
        <f t="shared" ref="N41:N56" si="19">IF(H41=0,0,L41/H41)</f>
        <v>-1</v>
      </c>
      <c r="O41" s="14"/>
      <c r="P41" s="1">
        <f>SUM(OSRRefP22_2x_0)</f>
        <v>343.26</v>
      </c>
      <c r="Q41" s="1"/>
      <c r="R41" s="5">
        <f t="shared" ref="R41:R56" si="20">IF(P$12=0,0,P41/P$12)</f>
        <v>0</v>
      </c>
      <c r="S41" s="1"/>
      <c r="T41" s="1">
        <f>SUM(OSRRefT22_2x_0)</f>
        <v>900</v>
      </c>
      <c r="U41" s="1"/>
      <c r="V41" s="5">
        <f t="shared" ref="V41:V56" si="21">IF(T$12=0,0,T41/T$12)</f>
        <v>0</v>
      </c>
      <c r="W41" s="1"/>
      <c r="X41" s="1">
        <f t="shared" ref="X41:X56" si="22">+P41-T41</f>
        <v>-556.74</v>
      </c>
      <c r="Y41" s="1"/>
      <c r="Z41" s="5">
        <f t="shared" ref="Z41:Z56" si="23">IF(T41=0,0,X41/T41)</f>
        <v>-0.61860000000000004</v>
      </c>
    </row>
    <row r="42" spans="1:26" s="24" customFormat="1" hidden="1" outlineLevel="2" x14ac:dyDescent="0.3">
      <c r="A42" s="29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150</v>
      </c>
      <c r="I42" s="2"/>
      <c r="J42" s="7">
        <f t="shared" si="17"/>
        <v>0</v>
      </c>
      <c r="K42" s="2"/>
      <c r="L42" s="6">
        <f t="shared" si="18"/>
        <v>-150</v>
      </c>
      <c r="M42" s="2"/>
      <c r="N42" s="7">
        <f t="shared" si="19"/>
        <v>-1</v>
      </c>
      <c r="O42" s="11"/>
      <c r="P42" s="6">
        <v>343.26</v>
      </c>
      <c r="Q42" s="2"/>
      <c r="R42" s="7">
        <f t="shared" si="20"/>
        <v>0</v>
      </c>
      <c r="S42" s="2"/>
      <c r="T42" s="6">
        <v>900</v>
      </c>
      <c r="U42" s="2"/>
      <c r="V42" s="7">
        <f t="shared" si="21"/>
        <v>0</v>
      </c>
      <c r="W42" s="2"/>
      <c r="X42" s="6">
        <f t="shared" si="22"/>
        <v>-556.74</v>
      </c>
      <c r="Y42" s="2"/>
      <c r="Z42" s="7">
        <f t="shared" si="23"/>
        <v>-0.61860000000000004</v>
      </c>
    </row>
    <row r="43" spans="1:26" s="28" customFormat="1" outlineLevel="1" collapsed="1" x14ac:dyDescent="0.3">
      <c r="A43" s="27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250</v>
      </c>
      <c r="I43" s="1"/>
      <c r="J43" s="5">
        <f t="shared" si="17"/>
        <v>0</v>
      </c>
      <c r="K43" s="1"/>
      <c r="L43" s="1">
        <f t="shared" si="18"/>
        <v>-250</v>
      </c>
      <c r="M43" s="1"/>
      <c r="N43" s="5">
        <f t="shared" si="19"/>
        <v>-1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1500</v>
      </c>
      <c r="U43" s="1"/>
      <c r="V43" s="5">
        <f t="shared" si="21"/>
        <v>0</v>
      </c>
      <c r="W43" s="1"/>
      <c r="X43" s="1">
        <f t="shared" si="22"/>
        <v>-1500</v>
      </c>
      <c r="Y43" s="1"/>
      <c r="Z43" s="5">
        <f t="shared" si="23"/>
        <v>-1</v>
      </c>
    </row>
    <row r="44" spans="1:26" s="24" customFormat="1" hidden="1" outlineLevel="2" x14ac:dyDescent="0.3">
      <c r="A44" s="29"/>
      <c r="B44" s="11" t="str">
        <f>CONCATENATE("          ", "6277", " - ", "EMPLOYEE APPRECIATION")</f>
        <v xml:space="preserve">          6277 - EMPLOYEE APPRECIATION</v>
      </c>
      <c r="C44" s="11"/>
      <c r="D44" s="6"/>
      <c r="E44" s="2"/>
      <c r="F44" s="7">
        <f t="shared" si="16"/>
        <v>0</v>
      </c>
      <c r="G44" s="2"/>
      <c r="H44" s="6">
        <v>250</v>
      </c>
      <c r="I44" s="2"/>
      <c r="J44" s="7">
        <f t="shared" si="17"/>
        <v>0</v>
      </c>
      <c r="K44" s="2"/>
      <c r="L44" s="6">
        <f t="shared" si="18"/>
        <v>-250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1500</v>
      </c>
      <c r="U44" s="2"/>
      <c r="V44" s="7">
        <f t="shared" si="21"/>
        <v>0</v>
      </c>
      <c r="W44" s="2"/>
      <c r="X44" s="6">
        <f t="shared" si="22"/>
        <v>-1500</v>
      </c>
      <c r="Y44" s="2"/>
      <c r="Z44" s="7">
        <f t="shared" si="23"/>
        <v>-1</v>
      </c>
    </row>
    <row r="45" spans="1:26" s="28" customFormat="1" outlineLevel="1" collapsed="1" x14ac:dyDescent="0.3">
      <c r="A45" s="27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75</v>
      </c>
      <c r="I45" s="1"/>
      <c r="J45" s="5">
        <f t="shared" si="17"/>
        <v>0</v>
      </c>
      <c r="K45" s="1"/>
      <c r="L45" s="1">
        <f t="shared" si="18"/>
        <v>-75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450</v>
      </c>
      <c r="U45" s="1"/>
      <c r="V45" s="5">
        <f t="shared" si="21"/>
        <v>0</v>
      </c>
      <c r="W45" s="1"/>
      <c r="X45" s="1">
        <f t="shared" si="22"/>
        <v>-450</v>
      </c>
      <c r="Y45" s="1"/>
      <c r="Z45" s="5">
        <f t="shared" si="23"/>
        <v>-1</v>
      </c>
    </row>
    <row r="46" spans="1:26" s="24" customFormat="1" hidden="1" outlineLevel="2" x14ac:dyDescent="0.3">
      <c r="A46" s="29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16"/>
        <v>0</v>
      </c>
      <c r="G46" s="2"/>
      <c r="H46" s="6">
        <v>75</v>
      </c>
      <c r="I46" s="2"/>
      <c r="J46" s="7">
        <f t="shared" si="17"/>
        <v>0</v>
      </c>
      <c r="K46" s="2"/>
      <c r="L46" s="6">
        <f t="shared" si="18"/>
        <v>-75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450</v>
      </c>
      <c r="U46" s="2"/>
      <c r="V46" s="7">
        <f t="shared" si="21"/>
        <v>0</v>
      </c>
      <c r="W46" s="2"/>
      <c r="X46" s="6">
        <f t="shared" si="22"/>
        <v>-450</v>
      </c>
      <c r="Y46" s="2"/>
      <c r="Z46" s="7">
        <f t="shared" si="23"/>
        <v>-1</v>
      </c>
    </row>
    <row r="47" spans="1:26" s="28" customFormat="1" outlineLevel="1" collapsed="1" x14ac:dyDescent="0.3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24.37</v>
      </c>
      <c r="E47" s="1"/>
      <c r="F47" s="5">
        <f t="shared" si="16"/>
        <v>0</v>
      </c>
      <c r="G47" s="1"/>
      <c r="H47" s="1">
        <f>SUM(OSRRefH22_5x_0)</f>
        <v>85</v>
      </c>
      <c r="I47" s="1"/>
      <c r="J47" s="5">
        <f t="shared" si="17"/>
        <v>0</v>
      </c>
      <c r="K47" s="1"/>
      <c r="L47" s="1">
        <f t="shared" si="18"/>
        <v>-60.629999999999995</v>
      </c>
      <c r="M47" s="1"/>
      <c r="N47" s="5">
        <f t="shared" si="19"/>
        <v>-0.71329411764705875</v>
      </c>
      <c r="O47" s="14"/>
      <c r="P47" s="1">
        <f>SUM(OSRRefP22_5x_0)</f>
        <v>195.15</v>
      </c>
      <c r="Q47" s="1"/>
      <c r="R47" s="5">
        <f t="shared" si="20"/>
        <v>0</v>
      </c>
      <c r="S47" s="1"/>
      <c r="T47" s="1">
        <f>SUM(OSRRefT22_5x_0)</f>
        <v>170</v>
      </c>
      <c r="U47" s="1"/>
      <c r="V47" s="5">
        <f t="shared" si="21"/>
        <v>0</v>
      </c>
      <c r="W47" s="1"/>
      <c r="X47" s="1">
        <f t="shared" si="22"/>
        <v>25.150000000000006</v>
      </c>
      <c r="Y47" s="1"/>
      <c r="Z47" s="5">
        <f t="shared" si="23"/>
        <v>0.14794117647058827</v>
      </c>
    </row>
    <row r="48" spans="1:26" s="24" customFormat="1" hidden="1" outlineLevel="2" x14ac:dyDescent="0.3">
      <c r="A48" s="29"/>
      <c r="B48" s="11" t="str">
        <f>CONCATENATE("          ", "6307", " - ", "POSTAGE")</f>
        <v xml:space="preserve">          6307 - POSTAGE</v>
      </c>
      <c r="C48" s="11"/>
      <c r="D48" s="6">
        <v>24.37</v>
      </c>
      <c r="E48" s="2"/>
      <c r="F48" s="7">
        <f t="shared" si="16"/>
        <v>0</v>
      </c>
      <c r="G48" s="2"/>
      <c r="H48" s="6">
        <v>85</v>
      </c>
      <c r="I48" s="2"/>
      <c r="J48" s="7">
        <f t="shared" si="17"/>
        <v>0</v>
      </c>
      <c r="K48" s="2"/>
      <c r="L48" s="6">
        <f t="shared" si="18"/>
        <v>-60.629999999999995</v>
      </c>
      <c r="M48" s="2"/>
      <c r="N48" s="7">
        <f t="shared" si="19"/>
        <v>-0.71329411764705875</v>
      </c>
      <c r="O48" s="11"/>
      <c r="P48" s="6">
        <v>195.15</v>
      </c>
      <c r="Q48" s="2"/>
      <c r="R48" s="7">
        <f t="shared" si="20"/>
        <v>0</v>
      </c>
      <c r="S48" s="2"/>
      <c r="T48" s="6">
        <v>170</v>
      </c>
      <c r="U48" s="2"/>
      <c r="V48" s="7">
        <f t="shared" si="21"/>
        <v>0</v>
      </c>
      <c r="W48" s="2"/>
      <c r="X48" s="6">
        <f t="shared" si="22"/>
        <v>25.150000000000006</v>
      </c>
      <c r="Y48" s="2"/>
      <c r="Z48" s="7">
        <f t="shared" si="23"/>
        <v>0.14794117647058827</v>
      </c>
    </row>
    <row r="49" spans="1:26" s="28" customFormat="1" outlineLevel="1" collapsed="1" x14ac:dyDescent="0.3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189.5</v>
      </c>
      <c r="E49" s="1"/>
      <c r="F49" s="5">
        <f t="shared" si="16"/>
        <v>0</v>
      </c>
      <c r="G49" s="1"/>
      <c r="H49" s="1">
        <f>SUM(OSRRefH22_6x_0)</f>
        <v>0</v>
      </c>
      <c r="I49" s="1"/>
      <c r="J49" s="5">
        <f t="shared" si="17"/>
        <v>0</v>
      </c>
      <c r="K49" s="1"/>
      <c r="L49" s="1">
        <f t="shared" si="18"/>
        <v>189.5</v>
      </c>
      <c r="M49" s="1"/>
      <c r="N49" s="5">
        <f t="shared" si="19"/>
        <v>0</v>
      </c>
      <c r="O49" s="14"/>
      <c r="P49" s="1">
        <f>SUM(OSRRefP22_6x_0)</f>
        <v>2680.25</v>
      </c>
      <c r="Q49" s="1"/>
      <c r="R49" s="5">
        <f t="shared" si="20"/>
        <v>0</v>
      </c>
      <c r="S49" s="1"/>
      <c r="T49" s="1">
        <f>SUM(OSRRefT22_6x_0)</f>
        <v>0</v>
      </c>
      <c r="U49" s="1"/>
      <c r="V49" s="5">
        <f t="shared" si="21"/>
        <v>0</v>
      </c>
      <c r="W49" s="1"/>
      <c r="X49" s="1">
        <f t="shared" si="22"/>
        <v>2680.25</v>
      </c>
      <c r="Y49" s="1"/>
      <c r="Z49" s="5">
        <f t="shared" si="23"/>
        <v>0</v>
      </c>
    </row>
    <row r="50" spans="1:26" s="24" customFormat="1" hidden="1" outlineLevel="2" x14ac:dyDescent="0.3">
      <c r="A50" s="29"/>
      <c r="B50" s="11" t="str">
        <f>CONCATENATE("          ", "6279", " - ", "GENERAL EXPENSE")</f>
        <v xml:space="preserve">          6279 - GENERAL EXPENSE</v>
      </c>
      <c r="C50" s="11"/>
      <c r="D50" s="6">
        <v>189.5</v>
      </c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189.5</v>
      </c>
      <c r="M50" s="2"/>
      <c r="N50" s="7">
        <f t="shared" si="19"/>
        <v>0</v>
      </c>
      <c r="O50" s="11"/>
      <c r="P50" s="6">
        <v>2680.25</v>
      </c>
      <c r="Q50" s="2"/>
      <c r="R50" s="7">
        <f t="shared" si="20"/>
        <v>0</v>
      </c>
      <c r="S50" s="2"/>
      <c r="T50" s="6"/>
      <c r="U50" s="2"/>
      <c r="V50" s="7">
        <f t="shared" si="21"/>
        <v>0</v>
      </c>
      <c r="W50" s="2"/>
      <c r="X50" s="6">
        <f t="shared" si="22"/>
        <v>2680.25</v>
      </c>
      <c r="Y50" s="2"/>
      <c r="Z50" s="7">
        <f t="shared" si="23"/>
        <v>0</v>
      </c>
    </row>
    <row r="51" spans="1:26" s="28" customFormat="1" outlineLevel="1" collapsed="1" x14ac:dyDescent="0.3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88.99</v>
      </c>
      <c r="E51" s="1"/>
      <c r="F51" s="5">
        <f t="shared" si="16"/>
        <v>0</v>
      </c>
      <c r="G51" s="1"/>
      <c r="H51" s="1">
        <f>SUM(OSRRefH22_7x_0)</f>
        <v>90</v>
      </c>
      <c r="I51" s="1"/>
      <c r="J51" s="5">
        <f t="shared" si="17"/>
        <v>0</v>
      </c>
      <c r="K51" s="1"/>
      <c r="L51" s="1">
        <f t="shared" si="18"/>
        <v>-1.0100000000000051</v>
      </c>
      <c r="M51" s="1"/>
      <c r="N51" s="5">
        <f t="shared" si="19"/>
        <v>-1.1222222222222279E-2</v>
      </c>
      <c r="O51" s="14"/>
      <c r="P51" s="1">
        <f>SUM(OSRRefP22_7x_0)</f>
        <v>533.94000000000005</v>
      </c>
      <c r="Q51" s="1"/>
      <c r="R51" s="5">
        <f t="shared" si="20"/>
        <v>0</v>
      </c>
      <c r="S51" s="1"/>
      <c r="T51" s="1">
        <f>SUM(OSRRefT22_7x_0)</f>
        <v>540</v>
      </c>
      <c r="U51" s="1"/>
      <c r="V51" s="5">
        <f t="shared" si="21"/>
        <v>0</v>
      </c>
      <c r="W51" s="1"/>
      <c r="X51" s="1">
        <f t="shared" si="22"/>
        <v>-6.0599999999999454</v>
      </c>
      <c r="Y51" s="1"/>
      <c r="Z51" s="5">
        <f t="shared" si="23"/>
        <v>-1.1222222222222121E-2</v>
      </c>
    </row>
    <row r="52" spans="1:26" s="24" customFormat="1" hidden="1" outlineLevel="2" x14ac:dyDescent="0.3">
      <c r="A52" s="29"/>
      <c r="B52" s="11" t="str">
        <f>CONCATENATE("          ", "6314", " - ", "LIABILITY INSURANCE")</f>
        <v xml:space="preserve">          6314 - LIABILITY INSURANCE</v>
      </c>
      <c r="C52" s="11"/>
      <c r="D52" s="6">
        <v>88.99</v>
      </c>
      <c r="E52" s="2"/>
      <c r="F52" s="7">
        <f t="shared" si="16"/>
        <v>0</v>
      </c>
      <c r="G52" s="2"/>
      <c r="H52" s="6">
        <v>90</v>
      </c>
      <c r="I52" s="2"/>
      <c r="J52" s="7">
        <f t="shared" si="17"/>
        <v>0</v>
      </c>
      <c r="K52" s="2"/>
      <c r="L52" s="6">
        <f t="shared" si="18"/>
        <v>-1.0100000000000051</v>
      </c>
      <c r="M52" s="2"/>
      <c r="N52" s="7">
        <f t="shared" si="19"/>
        <v>-1.1222222222222279E-2</v>
      </c>
      <c r="O52" s="11"/>
      <c r="P52" s="6">
        <v>533.94000000000005</v>
      </c>
      <c r="Q52" s="2"/>
      <c r="R52" s="7">
        <f t="shared" si="20"/>
        <v>0</v>
      </c>
      <c r="S52" s="2"/>
      <c r="T52" s="6">
        <v>540</v>
      </c>
      <c r="U52" s="2"/>
      <c r="V52" s="7">
        <f t="shared" si="21"/>
        <v>0</v>
      </c>
      <c r="W52" s="2"/>
      <c r="X52" s="6">
        <f t="shared" si="22"/>
        <v>-6.0599999999999454</v>
      </c>
      <c r="Y52" s="2"/>
      <c r="Z52" s="7">
        <f t="shared" si="23"/>
        <v>-1.1222222222222121E-2</v>
      </c>
    </row>
    <row r="53" spans="1:26" s="28" customFormat="1" outlineLevel="1" collapsed="1" x14ac:dyDescent="0.3">
      <c r="A53" s="27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693.21</v>
      </c>
      <c r="E53" s="1"/>
      <c r="F53" s="5">
        <f t="shared" si="16"/>
        <v>0</v>
      </c>
      <c r="G53" s="1"/>
      <c r="H53" s="1">
        <f>SUM(OSRRefH22_8x_0)</f>
        <v>1666</v>
      </c>
      <c r="I53" s="1"/>
      <c r="J53" s="5">
        <f t="shared" si="17"/>
        <v>0</v>
      </c>
      <c r="K53" s="1"/>
      <c r="L53" s="1">
        <f t="shared" si="18"/>
        <v>-972.79</v>
      </c>
      <c r="M53" s="1"/>
      <c r="N53" s="5">
        <f t="shared" si="19"/>
        <v>-0.58390756302521007</v>
      </c>
      <c r="O53" s="14"/>
      <c r="P53" s="1">
        <f>SUM(OSRRefP22_8x_0)</f>
        <v>10307.58</v>
      </c>
      <c r="Q53" s="1"/>
      <c r="R53" s="5">
        <f t="shared" si="20"/>
        <v>0</v>
      </c>
      <c r="S53" s="1"/>
      <c r="T53" s="1">
        <f>SUM(OSRRefT22_8x_0)</f>
        <v>9996</v>
      </c>
      <c r="U53" s="1"/>
      <c r="V53" s="5">
        <f t="shared" si="21"/>
        <v>0</v>
      </c>
      <c r="W53" s="1"/>
      <c r="X53" s="1">
        <f t="shared" si="22"/>
        <v>311.57999999999993</v>
      </c>
      <c r="Y53" s="1"/>
      <c r="Z53" s="5">
        <f t="shared" si="23"/>
        <v>3.1170468187274904E-2</v>
      </c>
    </row>
    <row r="54" spans="1:26" s="24" customFormat="1" hidden="1" outlineLevel="2" x14ac:dyDescent="0.3">
      <c r="A54" s="29"/>
      <c r="B54" s="11" t="str">
        <f>CONCATENATE("          ", "6332", " - ", "CONSULTANT FEES")</f>
        <v xml:space="preserve">          6332 - CONSULTANT FEES</v>
      </c>
      <c r="C54" s="11"/>
      <c r="D54" s="6"/>
      <c r="E54" s="2"/>
      <c r="F54" s="7">
        <f t="shared" si="16"/>
        <v>0</v>
      </c>
      <c r="G54" s="2"/>
      <c r="H54" s="6">
        <v>0</v>
      </c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/>
      <c r="Q54" s="2"/>
      <c r="R54" s="7">
        <f t="shared" si="20"/>
        <v>0</v>
      </c>
      <c r="S54" s="2"/>
      <c r="T54" s="6">
        <v>0</v>
      </c>
      <c r="U54" s="2"/>
      <c r="V54" s="7">
        <f t="shared" si="21"/>
        <v>0</v>
      </c>
      <c r="W54" s="2"/>
      <c r="X54" s="6">
        <f t="shared" si="22"/>
        <v>0</v>
      </c>
      <c r="Y54" s="2"/>
      <c r="Z54" s="7">
        <f t="shared" si="23"/>
        <v>0</v>
      </c>
    </row>
    <row r="55" spans="1:26" s="24" customFormat="1" hidden="1" outlineLevel="2" x14ac:dyDescent="0.3">
      <c r="A55" s="29"/>
      <c r="B55" s="11" t="str">
        <f>CONCATENATE("          ", "6334", " - ", "LEGAL COUNCIL EXPENSE")</f>
        <v xml:space="preserve">          6334 - LEGAL COUNCIL EXPENSE</v>
      </c>
      <c r="C55" s="11"/>
      <c r="D55" s="6"/>
      <c r="E55" s="2"/>
      <c r="F55" s="7">
        <f t="shared" si="16"/>
        <v>0</v>
      </c>
      <c r="G55" s="2"/>
      <c r="H55" s="6">
        <v>833</v>
      </c>
      <c r="I55" s="2"/>
      <c r="J55" s="7">
        <f t="shared" si="17"/>
        <v>0</v>
      </c>
      <c r="K55" s="2"/>
      <c r="L55" s="6">
        <f t="shared" si="18"/>
        <v>-833</v>
      </c>
      <c r="M55" s="2"/>
      <c r="N55" s="7">
        <f t="shared" si="19"/>
        <v>-1</v>
      </c>
      <c r="O55" s="11"/>
      <c r="P55" s="6">
        <v>3255</v>
      </c>
      <c r="Q55" s="2"/>
      <c r="R55" s="7">
        <f t="shared" si="20"/>
        <v>0</v>
      </c>
      <c r="S55" s="2"/>
      <c r="T55" s="6">
        <v>4998</v>
      </c>
      <c r="U55" s="2"/>
      <c r="V55" s="7">
        <f t="shared" si="21"/>
        <v>0</v>
      </c>
      <c r="W55" s="2"/>
      <c r="X55" s="6">
        <f t="shared" si="22"/>
        <v>-1743</v>
      </c>
      <c r="Y55" s="2"/>
      <c r="Z55" s="7">
        <f t="shared" si="23"/>
        <v>-0.34873949579831931</v>
      </c>
    </row>
    <row r="56" spans="1:26" s="24" customFormat="1" hidden="1" outlineLevel="2" x14ac:dyDescent="0.3">
      <c r="A56" s="29"/>
      <c r="B56" s="11" t="str">
        <f>CONCATENATE("          ", "6336", " - ", "PROFESSIONAL SERVICES")</f>
        <v xml:space="preserve">          6336 - PROFESSIONAL SERVICES</v>
      </c>
      <c r="C56" s="11"/>
      <c r="D56" s="6">
        <v>693.21</v>
      </c>
      <c r="E56" s="2"/>
      <c r="F56" s="7">
        <f t="shared" si="16"/>
        <v>0</v>
      </c>
      <c r="G56" s="2"/>
      <c r="H56" s="6">
        <v>833</v>
      </c>
      <c r="I56" s="2"/>
      <c r="J56" s="7">
        <f t="shared" si="17"/>
        <v>0</v>
      </c>
      <c r="K56" s="2"/>
      <c r="L56" s="6">
        <f t="shared" si="18"/>
        <v>-139.78999999999996</v>
      </c>
      <c r="M56" s="2"/>
      <c r="N56" s="7">
        <f t="shared" si="19"/>
        <v>-0.16781512605042012</v>
      </c>
      <c r="O56" s="11"/>
      <c r="P56" s="6">
        <v>7052.58</v>
      </c>
      <c r="Q56" s="2"/>
      <c r="R56" s="7">
        <f t="shared" si="20"/>
        <v>0</v>
      </c>
      <c r="S56" s="2"/>
      <c r="T56" s="6">
        <v>4998</v>
      </c>
      <c r="U56" s="2"/>
      <c r="V56" s="7">
        <f t="shared" si="21"/>
        <v>0</v>
      </c>
      <c r="W56" s="2"/>
      <c r="X56" s="6">
        <f t="shared" si="22"/>
        <v>2054.58</v>
      </c>
      <c r="Y56" s="2"/>
      <c r="Z56" s="7">
        <f t="shared" si="23"/>
        <v>0.41108043217286916</v>
      </c>
    </row>
    <row r="57" spans="1:26" s="28" customFormat="1" outlineLevel="1" collapsed="1" x14ac:dyDescent="0.3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8154.97</v>
      </c>
      <c r="E57" s="1"/>
      <c r="F57" s="5">
        <f t="shared" ref="F57:F59" si="24">IF(D$12=0,0,D57/D$12)</f>
        <v>0</v>
      </c>
      <c r="G57" s="1"/>
      <c r="H57" s="1">
        <f>SUM(OSRRefH22_9x_0)</f>
        <v>7000</v>
      </c>
      <c r="I57" s="1"/>
      <c r="J57" s="5">
        <f t="shared" ref="J57:J59" si="25">IF(H$12=0,0,H57/H$12)</f>
        <v>0</v>
      </c>
      <c r="K57" s="1"/>
      <c r="L57" s="1">
        <f t="shared" ref="L57:L59" si="26">+D57-H57</f>
        <v>1154.9700000000003</v>
      </c>
      <c r="M57" s="1"/>
      <c r="N57" s="5">
        <f t="shared" ref="N57:N59" si="27">IF(H57=0,0,L57/H57)</f>
        <v>0.16499571428571433</v>
      </c>
      <c r="O57" s="14"/>
      <c r="P57" s="1">
        <f>SUM(OSRRefP22_9x_0)</f>
        <v>34516.969999999994</v>
      </c>
      <c r="Q57" s="1"/>
      <c r="R57" s="5">
        <f t="shared" ref="R57:R59" si="28">IF(P$12=0,0,P57/P$12)</f>
        <v>0</v>
      </c>
      <c r="S57" s="1"/>
      <c r="T57" s="1">
        <f>SUM(OSRRefT22_9x_0)</f>
        <v>42000</v>
      </c>
      <c r="U57" s="1"/>
      <c r="V57" s="5">
        <f t="shared" ref="V57:V59" si="29">IF(T$12=0,0,T57/T$12)</f>
        <v>0</v>
      </c>
      <c r="W57" s="1"/>
      <c r="X57" s="1">
        <f t="shared" ref="X57:X59" si="30">+P57-T57</f>
        <v>-7483.0300000000061</v>
      </c>
      <c r="Y57" s="1"/>
      <c r="Z57" s="5">
        <f t="shared" ref="Z57:Z59" si="31">IF(T57=0,0,X57/T57)</f>
        <v>-0.1781673809523811</v>
      </c>
    </row>
    <row r="58" spans="1:26" s="24" customFormat="1" hidden="1" outlineLevel="2" x14ac:dyDescent="0.3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6">
        <v>8154.97</v>
      </c>
      <c r="E58" s="2"/>
      <c r="F58" s="7">
        <f t="shared" si="24"/>
        <v>0</v>
      </c>
      <c r="G58" s="2"/>
      <c r="H58" s="6">
        <v>7000</v>
      </c>
      <c r="I58" s="2"/>
      <c r="J58" s="7">
        <f t="shared" si="25"/>
        <v>0</v>
      </c>
      <c r="K58" s="2"/>
      <c r="L58" s="6">
        <f t="shared" si="26"/>
        <v>1154.9700000000003</v>
      </c>
      <c r="M58" s="2"/>
      <c r="N58" s="7">
        <f t="shared" si="27"/>
        <v>0.16499571428571433</v>
      </c>
      <c r="O58" s="11"/>
      <c r="P58" s="6">
        <v>34218.629999999997</v>
      </c>
      <c r="Q58" s="2"/>
      <c r="R58" s="7">
        <f t="shared" si="28"/>
        <v>0</v>
      </c>
      <c r="S58" s="2"/>
      <c r="T58" s="6">
        <v>42000</v>
      </c>
      <c r="U58" s="2"/>
      <c r="V58" s="7">
        <f t="shared" si="29"/>
        <v>0</v>
      </c>
      <c r="W58" s="2"/>
      <c r="X58" s="6">
        <f t="shared" si="30"/>
        <v>-7781.3700000000026</v>
      </c>
      <c r="Y58" s="2"/>
      <c r="Z58" s="7">
        <f t="shared" si="31"/>
        <v>-0.18527071428571434</v>
      </c>
    </row>
    <row r="59" spans="1:26" s="24" customFormat="1" hidden="1" outlineLevel="2" x14ac:dyDescent="0.3">
      <c r="A59" s="29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298.33999999999997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298.33999999999997</v>
      </c>
      <c r="Y59" s="2"/>
      <c r="Z59" s="7">
        <f t="shared" si="31"/>
        <v>0</v>
      </c>
    </row>
    <row r="60" spans="1:26" s="28" customFormat="1" outlineLevel="1" collapsed="1" x14ac:dyDescent="0.3">
      <c r="A60" s="27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795</v>
      </c>
      <c r="E60" s="1"/>
      <c r="F60" s="5">
        <f t="shared" ref="F60:F66" si="32">IF(D$12=0,0,D60/D$12)</f>
        <v>0</v>
      </c>
      <c r="G60" s="1"/>
      <c r="H60" s="1">
        <f>SUM(OSRRefH22_10x_0)</f>
        <v>0</v>
      </c>
      <c r="I60" s="1"/>
      <c r="J60" s="5">
        <f t="shared" ref="J60:J66" si="33">IF(H$12=0,0,H60/H$12)</f>
        <v>0</v>
      </c>
      <c r="K60" s="1"/>
      <c r="L60" s="1">
        <f t="shared" ref="L60:L66" si="34">+D60-H60</f>
        <v>795</v>
      </c>
      <c r="M60" s="1"/>
      <c r="N60" s="5">
        <f t="shared" ref="N60:N66" si="35">IF(H60=0,0,L60/H60)</f>
        <v>0</v>
      </c>
      <c r="O60" s="14"/>
      <c r="P60" s="1">
        <f>SUM(OSRRefP22_10x_0)</f>
        <v>1452</v>
      </c>
      <c r="Q60" s="1"/>
      <c r="R60" s="5">
        <f t="shared" ref="R60:R66" si="36">IF(P$12=0,0,P60/P$12)</f>
        <v>0</v>
      </c>
      <c r="S60" s="1"/>
      <c r="T60" s="1">
        <f>SUM(OSRRefT22_10x_0)</f>
        <v>1000</v>
      </c>
      <c r="U60" s="1"/>
      <c r="V60" s="5">
        <f t="shared" ref="V60:V66" si="37">IF(T$12=0,0,T60/T$12)</f>
        <v>0</v>
      </c>
      <c r="W60" s="1"/>
      <c r="X60" s="1">
        <f t="shared" ref="X60:X66" si="38">+P60-T60</f>
        <v>452</v>
      </c>
      <c r="Y60" s="1"/>
      <c r="Z60" s="5">
        <f t="shared" ref="Z60:Z66" si="39">IF(T60=0,0,X60/T60)</f>
        <v>0.45200000000000001</v>
      </c>
    </row>
    <row r="61" spans="1:26" s="24" customFormat="1" hidden="1" outlineLevel="2" x14ac:dyDescent="0.3">
      <c r="A61" s="29"/>
      <c r="B61" s="11" t="str">
        <f>CONCATENATE("          ", "6258", " - ", "MEMBERSHIP DUES")</f>
        <v xml:space="preserve">          6258 - MEMBERSHIP DUES</v>
      </c>
      <c r="C61" s="11"/>
      <c r="D61" s="6">
        <v>795</v>
      </c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795</v>
      </c>
      <c r="M61" s="2"/>
      <c r="N61" s="7">
        <f t="shared" si="35"/>
        <v>0</v>
      </c>
      <c r="O61" s="11"/>
      <c r="P61" s="6">
        <v>1452</v>
      </c>
      <c r="Q61" s="2"/>
      <c r="R61" s="7">
        <f t="shared" si="36"/>
        <v>0</v>
      </c>
      <c r="S61" s="2"/>
      <c r="T61" s="6">
        <v>1000</v>
      </c>
      <c r="U61" s="2"/>
      <c r="V61" s="7">
        <f t="shared" si="37"/>
        <v>0</v>
      </c>
      <c r="W61" s="2"/>
      <c r="X61" s="6">
        <f t="shared" si="38"/>
        <v>452</v>
      </c>
      <c r="Y61" s="2"/>
      <c r="Z61" s="7">
        <f t="shared" si="39"/>
        <v>0.45200000000000001</v>
      </c>
    </row>
    <row r="62" spans="1:26" s="28" customFormat="1" outlineLevel="1" collapsed="1" x14ac:dyDescent="0.3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583.22</v>
      </c>
      <c r="E62" s="1"/>
      <c r="F62" s="5">
        <f t="shared" si="32"/>
        <v>0</v>
      </c>
      <c r="G62" s="1"/>
      <c r="H62" s="1">
        <f>SUM(OSRRefH22_11x_0)</f>
        <v>1834</v>
      </c>
      <c r="I62" s="1"/>
      <c r="J62" s="5">
        <f t="shared" si="33"/>
        <v>0</v>
      </c>
      <c r="K62" s="1"/>
      <c r="L62" s="1">
        <f t="shared" si="34"/>
        <v>-1250.78</v>
      </c>
      <c r="M62" s="1"/>
      <c r="N62" s="5">
        <f t="shared" si="35"/>
        <v>-0.68199563794983642</v>
      </c>
      <c r="O62" s="14"/>
      <c r="P62" s="1">
        <f>SUM(OSRRefP22_11x_0)</f>
        <v>7823.76</v>
      </c>
      <c r="Q62" s="1"/>
      <c r="R62" s="5">
        <f t="shared" si="36"/>
        <v>0</v>
      </c>
      <c r="S62" s="1"/>
      <c r="T62" s="1">
        <f>SUM(OSRRefT22_11x_0)</f>
        <v>11004</v>
      </c>
      <c r="U62" s="1"/>
      <c r="V62" s="5">
        <f t="shared" si="37"/>
        <v>0</v>
      </c>
      <c r="W62" s="1"/>
      <c r="X62" s="1">
        <f t="shared" si="38"/>
        <v>-3180.24</v>
      </c>
      <c r="Y62" s="1"/>
      <c r="Z62" s="5">
        <f t="shared" si="39"/>
        <v>-0.28900763358778625</v>
      </c>
    </row>
    <row r="63" spans="1:26" s="24" customFormat="1" hidden="1" outlineLevel="2" x14ac:dyDescent="0.3">
      <c r="A63" s="29"/>
      <c r="B63" s="11" t="str">
        <f>CONCATENATE("          ", "6235", " - ", "COVID-19 EXPENSES")</f>
        <v xml:space="preserve">          6235 - COVID-19 EXPENSES</v>
      </c>
      <c r="C63" s="11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2447.77</v>
      </c>
      <c r="Q63" s="2"/>
      <c r="R63" s="7">
        <f t="shared" si="36"/>
        <v>0</v>
      </c>
      <c r="S63" s="2"/>
      <c r="T63" s="6"/>
      <c r="U63" s="2"/>
      <c r="V63" s="7">
        <f t="shared" si="37"/>
        <v>0</v>
      </c>
      <c r="W63" s="2"/>
      <c r="X63" s="6">
        <f t="shared" si="38"/>
        <v>2447.77</v>
      </c>
      <c r="Y63" s="2"/>
      <c r="Z63" s="7">
        <f t="shared" si="39"/>
        <v>0</v>
      </c>
    </row>
    <row r="64" spans="1:26" s="24" customFormat="1" hidden="1" outlineLevel="2" x14ac:dyDescent="0.3">
      <c r="A64" s="29"/>
      <c r="B64" s="11" t="str">
        <f>CONCATENATE("          ", "6241", " - ", "OFFICE EXPENSE")</f>
        <v xml:space="preserve">          6241 - OFFICE EXPENSE</v>
      </c>
      <c r="C64" s="11"/>
      <c r="D64" s="6">
        <v>583.22</v>
      </c>
      <c r="E64" s="2"/>
      <c r="F64" s="7">
        <f t="shared" si="32"/>
        <v>0</v>
      </c>
      <c r="G64" s="2"/>
      <c r="H64" s="6">
        <v>1417</v>
      </c>
      <c r="I64" s="2"/>
      <c r="J64" s="7">
        <f t="shared" si="33"/>
        <v>0</v>
      </c>
      <c r="K64" s="2"/>
      <c r="L64" s="6">
        <f t="shared" si="34"/>
        <v>-833.78</v>
      </c>
      <c r="M64" s="2"/>
      <c r="N64" s="7">
        <f t="shared" si="35"/>
        <v>-0.58841213832039518</v>
      </c>
      <c r="O64" s="11"/>
      <c r="P64" s="6">
        <v>1991.3</v>
      </c>
      <c r="Q64" s="2"/>
      <c r="R64" s="7">
        <f t="shared" si="36"/>
        <v>0</v>
      </c>
      <c r="S64" s="2"/>
      <c r="T64" s="6">
        <v>8502</v>
      </c>
      <c r="U64" s="2"/>
      <c r="V64" s="7">
        <f t="shared" si="37"/>
        <v>0</v>
      </c>
      <c r="W64" s="2"/>
      <c r="X64" s="6">
        <f t="shared" si="38"/>
        <v>-6510.7</v>
      </c>
      <c r="Y64" s="2"/>
      <c r="Z64" s="7">
        <f t="shared" si="39"/>
        <v>-0.76578452128910846</v>
      </c>
    </row>
    <row r="65" spans="1:26" s="24" customFormat="1" hidden="1" outlineLevel="2" x14ac:dyDescent="0.3">
      <c r="A65" s="29"/>
      <c r="B65" s="11" t="str">
        <f>CONCATENATE("          ", "6244", " - ", "SAFETY SUPPLY EXPENSE")</f>
        <v xml:space="preserve">          6244 - SAFETY SUPPLY EXPENSE</v>
      </c>
      <c r="C65" s="11"/>
      <c r="D65" s="6"/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-417</v>
      </c>
      <c r="M65" s="2"/>
      <c r="N65" s="7">
        <f t="shared" si="35"/>
        <v>-1</v>
      </c>
      <c r="O65" s="11"/>
      <c r="P65" s="6">
        <v>600</v>
      </c>
      <c r="Q65" s="2"/>
      <c r="R65" s="7">
        <f t="shared" si="36"/>
        <v>0</v>
      </c>
      <c r="S65" s="2"/>
      <c r="T65" s="6">
        <v>2502</v>
      </c>
      <c r="U65" s="2"/>
      <c r="V65" s="7">
        <f t="shared" si="37"/>
        <v>0</v>
      </c>
      <c r="W65" s="2"/>
      <c r="X65" s="6">
        <f t="shared" si="38"/>
        <v>-1902</v>
      </c>
      <c r="Y65" s="2"/>
      <c r="Z65" s="7">
        <f t="shared" si="39"/>
        <v>-0.76019184652278182</v>
      </c>
    </row>
    <row r="66" spans="1:26" s="24" customFormat="1" hidden="1" outlineLevel="2" x14ac:dyDescent="0.3">
      <c r="A66" s="29"/>
      <c r="B66" s="11" t="str">
        <f>CONCATENATE("          ", "6248", " - ", "UNIFORMS")</f>
        <v xml:space="preserve">          6248 - UNIFORMS</v>
      </c>
      <c r="C66" s="11"/>
      <c r="D66" s="6"/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0</v>
      </c>
      <c r="M66" s="2"/>
      <c r="N66" s="7">
        <f t="shared" si="35"/>
        <v>0</v>
      </c>
      <c r="O66" s="11"/>
      <c r="P66" s="6">
        <v>2784.69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2784.69</v>
      </c>
      <c r="Y66" s="2"/>
      <c r="Z66" s="7">
        <f t="shared" si="39"/>
        <v>0</v>
      </c>
    </row>
    <row r="67" spans="1:26" s="28" customFormat="1" outlineLevel="1" collapsed="1" x14ac:dyDescent="0.3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282</v>
      </c>
      <c r="E67" s="1"/>
      <c r="F67" s="5">
        <f t="shared" ref="F67:F72" si="40">IF(D$12=0,0,D67/D$12)</f>
        <v>0</v>
      </c>
      <c r="G67" s="1"/>
      <c r="H67" s="1">
        <f>SUM(OSRRefH22_12x_0)</f>
        <v>283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-1</v>
      </c>
      <c r="M67" s="1"/>
      <c r="N67" s="5">
        <f t="shared" ref="N67:N72" si="43">IF(H67=0,0,L67/H67)</f>
        <v>-3.5335689045936395E-3</v>
      </c>
      <c r="O67" s="14"/>
      <c r="P67" s="1">
        <f>SUM(OSRRefP22_12x_0)</f>
        <v>2821.35</v>
      </c>
      <c r="Q67" s="1"/>
      <c r="R67" s="5">
        <f t="shared" ref="R67:R72" si="44">IF(P$12=0,0,P67/P$12)</f>
        <v>0</v>
      </c>
      <c r="S67" s="1"/>
      <c r="T67" s="1">
        <f>SUM(OSRRefT22_12x_0)</f>
        <v>1698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1123.3499999999999</v>
      </c>
      <c r="Y67" s="1"/>
      <c r="Z67" s="5">
        <f t="shared" ref="Z67:Z72" si="47">IF(T67=0,0,X67/T67)</f>
        <v>0.66157243816254407</v>
      </c>
    </row>
    <row r="68" spans="1:26" s="24" customFormat="1" hidden="1" outlineLevel="2" x14ac:dyDescent="0.3">
      <c r="A68" s="29"/>
      <c r="B68" s="11" t="str">
        <f>CONCATENATE("          ", "6309", " - ", "TELEPHONE")</f>
        <v xml:space="preserve">          6309 - TELEPHONE</v>
      </c>
      <c r="C68" s="11"/>
      <c r="D68" s="6">
        <v>282</v>
      </c>
      <c r="E68" s="2"/>
      <c r="F68" s="7">
        <f t="shared" si="40"/>
        <v>0</v>
      </c>
      <c r="G68" s="2"/>
      <c r="H68" s="6">
        <v>283</v>
      </c>
      <c r="I68" s="2"/>
      <c r="J68" s="7">
        <f t="shared" si="41"/>
        <v>0</v>
      </c>
      <c r="K68" s="2"/>
      <c r="L68" s="6">
        <f t="shared" si="42"/>
        <v>-1</v>
      </c>
      <c r="M68" s="2"/>
      <c r="N68" s="7">
        <f t="shared" si="43"/>
        <v>-3.5335689045936395E-3</v>
      </c>
      <c r="O68" s="11"/>
      <c r="P68" s="6">
        <v>2821.35</v>
      </c>
      <c r="Q68" s="2"/>
      <c r="R68" s="7">
        <f t="shared" si="44"/>
        <v>0</v>
      </c>
      <c r="S68" s="2"/>
      <c r="T68" s="6">
        <v>1698</v>
      </c>
      <c r="U68" s="2"/>
      <c r="V68" s="7">
        <f t="shared" si="45"/>
        <v>0</v>
      </c>
      <c r="W68" s="2"/>
      <c r="X68" s="6">
        <f t="shared" si="46"/>
        <v>1123.3499999999999</v>
      </c>
      <c r="Y68" s="2"/>
      <c r="Z68" s="7">
        <f t="shared" si="47"/>
        <v>0.66157243816254407</v>
      </c>
    </row>
    <row r="69" spans="1:26" s="28" customFormat="1" outlineLevel="1" collapsed="1" x14ac:dyDescent="0.3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0"/>
        <v>0</v>
      </c>
      <c r="G69" s="1"/>
      <c r="H69" s="1">
        <f>SUM(OSRRefH22_13x_0)</f>
        <v>333</v>
      </c>
      <c r="I69" s="1"/>
      <c r="J69" s="5">
        <f t="shared" si="41"/>
        <v>0</v>
      </c>
      <c r="K69" s="1"/>
      <c r="L69" s="1">
        <f t="shared" si="42"/>
        <v>-333</v>
      </c>
      <c r="M69" s="1"/>
      <c r="N69" s="5">
        <f t="shared" si="43"/>
        <v>-1</v>
      </c>
      <c r="O69" s="14"/>
      <c r="P69" s="1">
        <f>SUM(OSRRefP22_13x_0)</f>
        <v>475</v>
      </c>
      <c r="Q69" s="1"/>
      <c r="R69" s="5">
        <f t="shared" si="44"/>
        <v>0</v>
      </c>
      <c r="S69" s="1"/>
      <c r="T69" s="1">
        <f>SUM(OSRRefT22_13x_0)</f>
        <v>1998</v>
      </c>
      <c r="U69" s="1"/>
      <c r="V69" s="5">
        <f t="shared" si="45"/>
        <v>0</v>
      </c>
      <c r="W69" s="1"/>
      <c r="X69" s="1">
        <f t="shared" si="46"/>
        <v>-1523</v>
      </c>
      <c r="Y69" s="1"/>
      <c r="Z69" s="5">
        <f t="shared" si="47"/>
        <v>-0.76226226226226224</v>
      </c>
    </row>
    <row r="70" spans="1:26" s="24" customFormat="1" hidden="1" outlineLevel="2" x14ac:dyDescent="0.3">
      <c r="A70" s="29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0"/>
        <v>0</v>
      </c>
      <c r="G70" s="2"/>
      <c r="H70" s="6">
        <v>333</v>
      </c>
      <c r="I70" s="2"/>
      <c r="J70" s="7">
        <f t="shared" si="41"/>
        <v>0</v>
      </c>
      <c r="K70" s="2"/>
      <c r="L70" s="6">
        <f t="shared" si="42"/>
        <v>-333</v>
      </c>
      <c r="M70" s="2"/>
      <c r="N70" s="7">
        <f t="shared" si="43"/>
        <v>-1</v>
      </c>
      <c r="O70" s="11"/>
      <c r="P70" s="6">
        <v>475</v>
      </c>
      <c r="Q70" s="2"/>
      <c r="R70" s="7">
        <f t="shared" si="44"/>
        <v>0</v>
      </c>
      <c r="S70" s="2"/>
      <c r="T70" s="6">
        <v>1998</v>
      </c>
      <c r="U70" s="2"/>
      <c r="V70" s="7">
        <f t="shared" si="45"/>
        <v>0</v>
      </c>
      <c r="W70" s="2"/>
      <c r="X70" s="6">
        <f t="shared" si="46"/>
        <v>-1523</v>
      </c>
      <c r="Y70" s="2"/>
      <c r="Z70" s="7">
        <f t="shared" si="47"/>
        <v>-0.76226226226226224</v>
      </c>
    </row>
    <row r="71" spans="1:26" s="28" customFormat="1" outlineLevel="1" collapsed="1" x14ac:dyDescent="0.3">
      <c r="A71" s="27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SUM(OSRRefD22_14x_0)</f>
        <v>0</v>
      </c>
      <c r="E71" s="1"/>
      <c r="F71" s="5">
        <f t="shared" si="40"/>
        <v>0</v>
      </c>
      <c r="G71" s="1"/>
      <c r="H71" s="1">
        <f>SUM(OSRRefH22_14x_0)</f>
        <v>0</v>
      </c>
      <c r="I71" s="1"/>
      <c r="J71" s="5">
        <f t="shared" si="41"/>
        <v>0</v>
      </c>
      <c r="K71" s="1"/>
      <c r="L71" s="1">
        <f t="shared" si="42"/>
        <v>0</v>
      </c>
      <c r="M71" s="1"/>
      <c r="N71" s="5">
        <f t="shared" si="43"/>
        <v>0</v>
      </c>
      <c r="O71" s="14"/>
      <c r="P71" s="1">
        <f>SUM(OSRRefP22_14x_0)</f>
        <v>0</v>
      </c>
      <c r="Q71" s="1"/>
      <c r="R71" s="5">
        <f t="shared" si="44"/>
        <v>0</v>
      </c>
      <c r="S71" s="1"/>
      <c r="T71" s="1">
        <f>SUM(OSRRefT22_14x_0)</f>
        <v>720</v>
      </c>
      <c r="U71" s="1"/>
      <c r="V71" s="5">
        <f t="shared" si="45"/>
        <v>0</v>
      </c>
      <c r="W71" s="1"/>
      <c r="X71" s="1">
        <f t="shared" si="46"/>
        <v>-720</v>
      </c>
      <c r="Y71" s="1"/>
      <c r="Z71" s="5">
        <f t="shared" si="47"/>
        <v>-1</v>
      </c>
    </row>
    <row r="72" spans="1:26" s="24" customFormat="1" hidden="1" outlineLevel="2" x14ac:dyDescent="0.3">
      <c r="A72" s="29"/>
      <c r="B72" s="11" t="str">
        <f>CONCATENATE("          ", "6292", " - ", "TRAVEL/CONFERENCE")</f>
        <v xml:space="preserve">          6292 - TRAVEL/CONFERENCE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/>
      <c r="Q72" s="2"/>
      <c r="R72" s="7">
        <f t="shared" si="44"/>
        <v>0</v>
      </c>
      <c r="S72" s="2"/>
      <c r="T72" s="6">
        <v>720</v>
      </c>
      <c r="U72" s="2"/>
      <c r="V72" s="7">
        <f t="shared" si="45"/>
        <v>0</v>
      </c>
      <c r="W72" s="2"/>
      <c r="X72" s="6">
        <f t="shared" si="46"/>
        <v>-720</v>
      </c>
      <c r="Y72" s="2"/>
      <c r="Z72" s="7">
        <f t="shared" si="47"/>
        <v>-1</v>
      </c>
    </row>
    <row r="73" spans="1:26" s="55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3">
      <c r="A74" s="10"/>
      <c r="B74" s="25" t="s">
        <v>293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3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">
      <c r="A76" s="10"/>
      <c r="B76" s="26" t="s">
        <v>277</v>
      </c>
      <c r="C76" s="26"/>
      <c r="D76" s="20">
        <f>+D16-D18+D74</f>
        <v>-55888.94</v>
      </c>
      <c r="E76" s="13"/>
      <c r="F76" s="22">
        <f>IF(D$12=0,0,D76/D$12)</f>
        <v>0</v>
      </c>
      <c r="G76" s="13"/>
      <c r="H76" s="20">
        <f>+H16-H18+H74</f>
        <v>-46434.26516968615</v>
      </c>
      <c r="I76" s="13"/>
      <c r="J76" s="22">
        <f>IF(H$12=0,0,H76/H$12)</f>
        <v>0</v>
      </c>
      <c r="K76" s="16"/>
      <c r="L76" s="20">
        <f>+D76-H76</f>
        <v>-9454.674830313852</v>
      </c>
      <c r="M76" s="16"/>
      <c r="N76" s="22">
        <f>IF(H76=0,0,L76/H76)</f>
        <v>0.20361418008368057</v>
      </c>
      <c r="O76" s="25"/>
      <c r="P76" s="20">
        <f>+P16-P18+P74</f>
        <v>-319734.90000000002</v>
      </c>
      <c r="Q76" s="13"/>
      <c r="R76" s="22">
        <f>IF(P$12=0,0,P76/P$12)</f>
        <v>0</v>
      </c>
      <c r="S76" s="13"/>
      <c r="T76" s="20">
        <f>+T16-T18+T74</f>
        <v>-295772.72360296</v>
      </c>
      <c r="U76" s="13"/>
      <c r="V76" s="22">
        <f>IF(T$12=0,0,T76/T$12)</f>
        <v>0</v>
      </c>
      <c r="W76" s="16"/>
      <c r="X76" s="20">
        <f>+P76-T76</f>
        <v>-23962.176397040021</v>
      </c>
      <c r="Y76" s="16"/>
      <c r="Z76" s="22">
        <f>IF(T76=0,0,X76/T76)</f>
        <v>8.1015504422261797E-2</v>
      </c>
    </row>
    <row r="77" spans="1:26" x14ac:dyDescent="0.3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">
      <c r="A78" s="52"/>
      <c r="B78" s="10" t="s">
        <v>128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3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35">
      <c r="A80" s="10"/>
      <c r="B80" s="26" t="s">
        <v>126</v>
      </c>
      <c r="C80" s="26"/>
      <c r="D80" s="31">
        <f>+D76-D78</f>
        <v>-55888.94</v>
      </c>
      <c r="E80" s="13"/>
      <c r="F80" s="30">
        <f>IF(D$12=0,0,D80/D$12)</f>
        <v>0</v>
      </c>
      <c r="G80" s="13"/>
      <c r="H80" s="31">
        <f>+H76-H78</f>
        <v>-46434.26516968615</v>
      </c>
      <c r="I80" s="13"/>
      <c r="J80" s="30">
        <f>IF(H$12=0,0,H80/H$12)</f>
        <v>0</v>
      </c>
      <c r="K80" s="16"/>
      <c r="L80" s="31">
        <f>D80-H80</f>
        <v>-9454.674830313852</v>
      </c>
      <c r="M80" s="16"/>
      <c r="N80" s="30">
        <f>IF(H80=0,0,L80/H80)</f>
        <v>0.20361418008368057</v>
      </c>
      <c r="O80" s="25"/>
      <c r="P80" s="31">
        <f>+P76-P78</f>
        <v>-319734.90000000002</v>
      </c>
      <c r="Q80" s="13"/>
      <c r="R80" s="30">
        <f>IF(P$12=0,0,P80/P$12)</f>
        <v>0</v>
      </c>
      <c r="S80" s="13"/>
      <c r="T80" s="31">
        <f>+T76-T78</f>
        <v>-295772.72360296</v>
      </c>
      <c r="U80" s="13"/>
      <c r="V80" s="30">
        <f>IF(T$12=0,0,T80/T$12)</f>
        <v>0</v>
      </c>
      <c r="W80" s="16"/>
      <c r="X80" s="31">
        <f>P80-T80</f>
        <v>-23962.176397040021</v>
      </c>
      <c r="Y80" s="16"/>
      <c r="Z80" s="30">
        <f>IF(T80=0,0,X80/T80)</f>
        <v>8.1015504422261797E-2</v>
      </c>
    </row>
    <row r="81" spans="1:26" ht="15" thickTop="1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3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294</v>
      </c>
      <c r="C83" s="26"/>
      <c r="D83" s="35">
        <f>SUM(D80:D82)</f>
        <v>-55888.94</v>
      </c>
      <c r="E83" s="13"/>
      <c r="F83" s="34">
        <f>IF(D$12=0,0,D83/D$12)</f>
        <v>0</v>
      </c>
      <c r="G83" s="13"/>
      <c r="H83" s="35">
        <f>SUM(H80:H82)</f>
        <v>-46434.26516968615</v>
      </c>
      <c r="I83" s="13"/>
      <c r="J83" s="34">
        <f>IF(H$12=0,0,H83/H$12)</f>
        <v>0</v>
      </c>
      <c r="K83" s="16"/>
      <c r="L83" s="35">
        <f>+D83-H83</f>
        <v>-9454.674830313852</v>
      </c>
      <c r="M83" s="16"/>
      <c r="N83" s="34">
        <f>IF(H83=0,0,L83/H83)</f>
        <v>0.20361418008368057</v>
      </c>
      <c r="O83" s="25"/>
      <c r="P83" s="35">
        <f>SUM(P80:P82)</f>
        <v>-319734.90000000002</v>
      </c>
      <c r="Q83" s="13"/>
      <c r="R83" s="34">
        <f>IF(P$12=0,0,P83/P$12)</f>
        <v>0</v>
      </c>
      <c r="S83" s="13"/>
      <c r="T83" s="35">
        <f>SUM(T80:T82)</f>
        <v>-295772.72360296</v>
      </c>
      <c r="U83" s="13"/>
      <c r="V83" s="34">
        <f>IF(T$12=0,0,T83/T$12)</f>
        <v>0</v>
      </c>
      <c r="W83" s="16"/>
      <c r="X83" s="35">
        <f>+P83-T83</f>
        <v>-23962.176397040021</v>
      </c>
      <c r="Y83" s="16"/>
      <c r="Z83" s="34">
        <f>IF(T83=0,0,X83/T83)</f>
        <v>8.1015504422261797E-2</v>
      </c>
    </row>
    <row r="84" spans="1:26" ht="15" thickTop="1" x14ac:dyDescent="0.3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3">
      <c r="A85" s="9"/>
      <c r="B85" s="61">
        <v>44575.842125659721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62" t="s">
        <v>56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A87" s="9"/>
      <c r="B87" s="53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","204", " - ", "Information Technology")</f>
        <v>Department 204 - Information Technology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45531.519999999997</v>
      </c>
      <c r="E18" s="21"/>
      <c r="F18" s="32">
        <f t="shared" ref="F18:F28" si="0">IF(D$12=0,0,D18/D$12)</f>
        <v>0</v>
      </c>
      <c r="G18" s="21"/>
      <c r="H18" s="21">
        <f>SUM(OSRRefH22x_0)</f>
        <v>50302.666047384599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-4771.1460473846018</v>
      </c>
      <c r="M18" s="4"/>
      <c r="N18" s="32">
        <f t="shared" ref="N18:N28" si="3">IF(H18=0,0,L18/H18)</f>
        <v>-9.4848770895964662E-2</v>
      </c>
      <c r="O18" s="10"/>
      <c r="P18" s="21">
        <f>SUM(OSRRefP22x_0)</f>
        <v>267959.36000000004</v>
      </c>
      <c r="Q18" s="21"/>
      <c r="R18" s="32">
        <f t="shared" ref="R18:R28" si="4">IF(P$12=0,0,P18/P$12)</f>
        <v>0</v>
      </c>
      <c r="S18" s="21"/>
      <c r="T18" s="21">
        <f>SUM(OSRRefT22x_0)</f>
        <v>306849.82930800004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-38890.469308</v>
      </c>
      <c r="Y18" s="4"/>
      <c r="Z18" s="32">
        <f t="shared" ref="Z18:Z28" si="7">IF(T18=0,0,X18/T18)</f>
        <v>-0.12674104918260767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11086.919999999998</v>
      </c>
      <c r="E19" s="1"/>
      <c r="F19" s="5">
        <f t="shared" si="0"/>
        <v>0</v>
      </c>
      <c r="G19" s="1"/>
      <c r="H19" s="1">
        <f>SUM(OSRRefH22_0x_0)</f>
        <v>11122.496816615394</v>
      </c>
      <c r="I19" s="1"/>
      <c r="J19" s="5">
        <f t="shared" si="1"/>
        <v>0</v>
      </c>
      <c r="K19" s="1"/>
      <c r="L19" s="1">
        <f t="shared" si="2"/>
        <v>-35.576816615395728</v>
      </c>
      <c r="M19" s="1"/>
      <c r="N19" s="5">
        <f t="shared" si="3"/>
        <v>-3.1986358101041786E-3</v>
      </c>
      <c r="O19" s="14"/>
      <c r="P19" s="1">
        <f>SUM(OSRRefP22_0x_0)</f>
        <v>67332.030000000013</v>
      </c>
      <c r="Q19" s="1"/>
      <c r="R19" s="5">
        <f t="shared" si="4"/>
        <v>0</v>
      </c>
      <c r="S19" s="1"/>
      <c r="T19" s="1">
        <f>SUM(OSRRefT22_0x_0)</f>
        <v>69478.229308000024</v>
      </c>
      <c r="U19" s="1"/>
      <c r="V19" s="5">
        <f t="shared" si="5"/>
        <v>0</v>
      </c>
      <c r="W19" s="1"/>
      <c r="X19" s="1">
        <f t="shared" si="6"/>
        <v>-2146.1993080000102</v>
      </c>
      <c r="Y19" s="1"/>
      <c r="Z19" s="5">
        <f t="shared" si="7"/>
        <v>-3.0890241869662726E-2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>
        <v>1498.83</v>
      </c>
      <c r="E20" s="2"/>
      <c r="F20" s="7">
        <f t="shared" si="0"/>
        <v>0</v>
      </c>
      <c r="G20" s="2"/>
      <c r="H20" s="6">
        <v>1810.8128289230799</v>
      </c>
      <c r="I20" s="2"/>
      <c r="J20" s="7">
        <f t="shared" si="1"/>
        <v>0</v>
      </c>
      <c r="K20" s="2"/>
      <c r="L20" s="6">
        <f t="shared" si="2"/>
        <v>-311.98282892307998</v>
      </c>
      <c r="M20" s="2"/>
      <c r="N20" s="7">
        <f t="shared" si="3"/>
        <v>-0.17228883291522806</v>
      </c>
      <c r="O20" s="11"/>
      <c r="P20" s="6">
        <v>9343.32</v>
      </c>
      <c r="Q20" s="2"/>
      <c r="R20" s="7">
        <f t="shared" si="4"/>
        <v>0</v>
      </c>
      <c r="S20" s="2"/>
      <c r="T20" s="6">
        <v>11770.283388</v>
      </c>
      <c r="U20" s="2"/>
      <c r="V20" s="7">
        <f t="shared" si="5"/>
        <v>0</v>
      </c>
      <c r="W20" s="2"/>
      <c r="X20" s="6">
        <f t="shared" si="6"/>
        <v>-2426.9633880000001</v>
      </c>
      <c r="Y20" s="2"/>
      <c r="Z20" s="7">
        <f t="shared" si="7"/>
        <v>-0.20619413381960963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245.51</v>
      </c>
      <c r="E21" s="2"/>
      <c r="F21" s="7">
        <f t="shared" si="0"/>
        <v>0</v>
      </c>
      <c r="G21" s="2"/>
      <c r="H21" s="6">
        <v>73.350578461538504</v>
      </c>
      <c r="I21" s="2"/>
      <c r="J21" s="7">
        <f t="shared" si="1"/>
        <v>0</v>
      </c>
      <c r="K21" s="2"/>
      <c r="L21" s="6">
        <f t="shared" si="2"/>
        <v>172.15942153846149</v>
      </c>
      <c r="M21" s="2"/>
      <c r="N21" s="7">
        <f t="shared" si="3"/>
        <v>2.3470765350369196</v>
      </c>
      <c r="O21" s="11"/>
      <c r="P21" s="6">
        <v>1568.31</v>
      </c>
      <c r="Q21" s="2"/>
      <c r="R21" s="7">
        <f t="shared" si="4"/>
        <v>0</v>
      </c>
      <c r="S21" s="2"/>
      <c r="T21" s="6">
        <v>476.77875999999998</v>
      </c>
      <c r="U21" s="2"/>
      <c r="V21" s="7">
        <f t="shared" si="5"/>
        <v>0</v>
      </c>
      <c r="W21" s="2"/>
      <c r="X21" s="6">
        <f t="shared" si="6"/>
        <v>1091.53124</v>
      </c>
      <c r="Y21" s="2"/>
      <c r="Z21" s="7">
        <f t="shared" si="7"/>
        <v>2.2893873040820862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>
        <v>4833.2700000000004</v>
      </c>
      <c r="E22" s="2"/>
      <c r="F22" s="7">
        <f t="shared" si="0"/>
        <v>0</v>
      </c>
      <c r="G22" s="2"/>
      <c r="H22" s="6">
        <v>5336</v>
      </c>
      <c r="I22" s="2"/>
      <c r="J22" s="7">
        <f t="shared" si="1"/>
        <v>0</v>
      </c>
      <c r="K22" s="2"/>
      <c r="L22" s="6">
        <f t="shared" si="2"/>
        <v>-502.72999999999956</v>
      </c>
      <c r="M22" s="2"/>
      <c r="N22" s="7">
        <f t="shared" si="3"/>
        <v>-9.4214767616191825E-2</v>
      </c>
      <c r="O22" s="11"/>
      <c r="P22" s="6">
        <v>29033.37</v>
      </c>
      <c r="Q22" s="2"/>
      <c r="R22" s="7">
        <f t="shared" si="4"/>
        <v>0</v>
      </c>
      <c r="S22" s="2"/>
      <c r="T22" s="6">
        <v>32016</v>
      </c>
      <c r="U22" s="2"/>
      <c r="V22" s="7">
        <f t="shared" si="5"/>
        <v>0</v>
      </c>
      <c r="W22" s="2"/>
      <c r="X22" s="6">
        <f t="shared" si="6"/>
        <v>-2982.630000000001</v>
      </c>
      <c r="Y22" s="2"/>
      <c r="Z22" s="7">
        <f t="shared" si="7"/>
        <v>-9.3160607196401832E-2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49.48</v>
      </c>
      <c r="E23" s="2"/>
      <c r="F23" s="7">
        <f t="shared" si="0"/>
        <v>0</v>
      </c>
      <c r="G23" s="2"/>
      <c r="H23" s="6">
        <v>49.6891015384615</v>
      </c>
      <c r="I23" s="2"/>
      <c r="J23" s="7">
        <f t="shared" si="1"/>
        <v>0</v>
      </c>
      <c r="K23" s="2"/>
      <c r="L23" s="6">
        <f t="shared" si="2"/>
        <v>-0.20910153846150337</v>
      </c>
      <c r="M23" s="2"/>
      <c r="N23" s="7">
        <f t="shared" si="3"/>
        <v>-4.208197209998852E-3</v>
      </c>
      <c r="O23" s="11"/>
      <c r="P23" s="6">
        <v>316.08</v>
      </c>
      <c r="Q23" s="2"/>
      <c r="R23" s="7">
        <f t="shared" si="4"/>
        <v>0</v>
      </c>
      <c r="S23" s="2"/>
      <c r="T23" s="6">
        <v>322.97915999999998</v>
      </c>
      <c r="U23" s="2"/>
      <c r="V23" s="7">
        <f t="shared" si="5"/>
        <v>0</v>
      </c>
      <c r="W23" s="2"/>
      <c r="X23" s="6">
        <f t="shared" si="6"/>
        <v>-6.8991599999999949</v>
      </c>
      <c r="Y23" s="2"/>
      <c r="Z23" s="7">
        <f t="shared" si="7"/>
        <v>-2.1361006697769587E-2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>
        <v>1907.46</v>
      </c>
      <c r="E24" s="2"/>
      <c r="F24" s="7">
        <f t="shared" si="0"/>
        <v>0</v>
      </c>
      <c r="G24" s="2"/>
      <c r="H24" s="6">
        <v>1567.18461538462</v>
      </c>
      <c r="I24" s="2"/>
      <c r="J24" s="7">
        <f t="shared" si="1"/>
        <v>0</v>
      </c>
      <c r="K24" s="2"/>
      <c r="L24" s="6">
        <f t="shared" si="2"/>
        <v>340.27538461538006</v>
      </c>
      <c r="M24" s="2"/>
      <c r="N24" s="7">
        <f t="shared" si="3"/>
        <v>0.21712527118693628</v>
      </c>
      <c r="O24" s="11"/>
      <c r="P24" s="6">
        <v>12068.4</v>
      </c>
      <c r="Q24" s="2"/>
      <c r="R24" s="7">
        <f t="shared" si="4"/>
        <v>0</v>
      </c>
      <c r="S24" s="2"/>
      <c r="T24" s="6">
        <v>10186.700000000001</v>
      </c>
      <c r="U24" s="2"/>
      <c r="V24" s="7">
        <f t="shared" si="5"/>
        <v>0</v>
      </c>
      <c r="W24" s="2"/>
      <c r="X24" s="6">
        <f t="shared" si="6"/>
        <v>1881.6999999999989</v>
      </c>
      <c r="Y24" s="2"/>
      <c r="Z24" s="7">
        <f t="shared" si="7"/>
        <v>0.18472125418437754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6">
        <v>1493.96</v>
      </c>
      <c r="E26" s="2"/>
      <c r="F26" s="7">
        <f t="shared" si="0"/>
        <v>0</v>
      </c>
      <c r="G26" s="2"/>
      <c r="H26" s="6">
        <v>911.15384615384596</v>
      </c>
      <c r="I26" s="2"/>
      <c r="J26" s="7">
        <f t="shared" si="1"/>
        <v>0</v>
      </c>
      <c r="K26" s="2"/>
      <c r="L26" s="6">
        <f t="shared" si="2"/>
        <v>582.80615384615407</v>
      </c>
      <c r="M26" s="2"/>
      <c r="N26" s="7">
        <f t="shared" si="3"/>
        <v>0.63963528915154111</v>
      </c>
      <c r="O26" s="11"/>
      <c r="P26" s="6">
        <v>8158.22</v>
      </c>
      <c r="Q26" s="2"/>
      <c r="R26" s="7">
        <f t="shared" si="4"/>
        <v>0</v>
      </c>
      <c r="S26" s="2"/>
      <c r="T26" s="6">
        <v>5922.5</v>
      </c>
      <c r="U26" s="2"/>
      <c r="V26" s="7">
        <f t="shared" si="5"/>
        <v>0</v>
      </c>
      <c r="W26" s="2"/>
      <c r="X26" s="6">
        <f t="shared" si="6"/>
        <v>2235.7200000000003</v>
      </c>
      <c r="Y26" s="2"/>
      <c r="Z26" s="7">
        <f t="shared" si="7"/>
        <v>0.37749598986914312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6">
        <v>877.84</v>
      </c>
      <c r="E27" s="2"/>
      <c r="F27" s="7">
        <f t="shared" si="0"/>
        <v>0</v>
      </c>
      <c r="G27" s="2"/>
      <c r="H27" s="6">
        <v>1074.3058461538501</v>
      </c>
      <c r="I27" s="2"/>
      <c r="J27" s="7">
        <f t="shared" si="1"/>
        <v>0</v>
      </c>
      <c r="K27" s="2"/>
      <c r="L27" s="6">
        <f t="shared" si="2"/>
        <v>-196.46584615385007</v>
      </c>
      <c r="M27" s="2"/>
      <c r="N27" s="7">
        <f t="shared" si="3"/>
        <v>-0.18287701482517524</v>
      </c>
      <c r="O27" s="11"/>
      <c r="P27" s="6">
        <v>5553.95</v>
      </c>
      <c r="Q27" s="2"/>
      <c r="R27" s="7">
        <f t="shared" si="4"/>
        <v>0</v>
      </c>
      <c r="S27" s="2"/>
      <c r="T27" s="6">
        <v>6982.9880000000203</v>
      </c>
      <c r="U27" s="2"/>
      <c r="V27" s="7">
        <f t="shared" si="5"/>
        <v>0</v>
      </c>
      <c r="W27" s="2"/>
      <c r="X27" s="6">
        <f t="shared" si="6"/>
        <v>-1429.0380000000205</v>
      </c>
      <c r="Y27" s="2"/>
      <c r="Z27" s="7">
        <f t="shared" si="7"/>
        <v>-0.20464563307283593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6">
        <v>180.57</v>
      </c>
      <c r="E28" s="2"/>
      <c r="F28" s="7">
        <f t="shared" si="0"/>
        <v>0</v>
      </c>
      <c r="G28" s="2"/>
      <c r="H28" s="6">
        <v>300</v>
      </c>
      <c r="I28" s="2"/>
      <c r="J28" s="7">
        <f t="shared" si="1"/>
        <v>0</v>
      </c>
      <c r="K28" s="2"/>
      <c r="L28" s="6">
        <f t="shared" si="2"/>
        <v>-119.43</v>
      </c>
      <c r="M28" s="2"/>
      <c r="N28" s="7">
        <f t="shared" si="3"/>
        <v>-0.39810000000000001</v>
      </c>
      <c r="O28" s="11"/>
      <c r="P28" s="6">
        <v>1290.3800000000001</v>
      </c>
      <c r="Q28" s="2"/>
      <c r="R28" s="7">
        <f t="shared" si="4"/>
        <v>0</v>
      </c>
      <c r="S28" s="2"/>
      <c r="T28" s="6">
        <v>1800</v>
      </c>
      <c r="U28" s="2"/>
      <c r="V28" s="7">
        <f t="shared" si="5"/>
        <v>0</v>
      </c>
      <c r="W28" s="2"/>
      <c r="X28" s="6">
        <f t="shared" si="6"/>
        <v>-509.61999999999989</v>
      </c>
      <c r="Y28" s="2"/>
      <c r="Z28" s="7">
        <f t="shared" si="7"/>
        <v>-0.28312222222222216</v>
      </c>
    </row>
    <row r="29" spans="1:26" s="28" customFormat="1" outlineLevel="1" collapsed="1" x14ac:dyDescent="0.3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18389.099999999999</v>
      </c>
      <c r="E29" s="1"/>
      <c r="F29" s="5">
        <f t="shared" ref="F29:F39" si="8">IF(D$12=0,0,D29/D$12)</f>
        <v>0</v>
      </c>
      <c r="G29" s="1"/>
      <c r="H29" s="1">
        <f>SUM(OSRRefH22_1x_0)</f>
        <v>21839.169230769199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-3450.0692307692007</v>
      </c>
      <c r="M29" s="1"/>
      <c r="N29" s="5">
        <f t="shared" ref="N29:N39" si="11">IF(H29=0,0,L29/H29)</f>
        <v>-0.15797621211288565</v>
      </c>
      <c r="O29" s="14"/>
      <c r="P29" s="1">
        <f>SUM(OSRRefP22_1x_0)</f>
        <v>111027.99</v>
      </c>
      <c r="Q29" s="1"/>
      <c r="R29" s="5">
        <f t="shared" ref="R29:R39" si="12">IF(P$12=0,0,P29/P$12)</f>
        <v>0</v>
      </c>
      <c r="S29" s="1"/>
      <c r="T29" s="1">
        <f>SUM(OSRRefT22_1x_0)</f>
        <v>141954.6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-30926.61</v>
      </c>
      <c r="Y29" s="1"/>
      <c r="Z29" s="5">
        <f t="shared" ref="Z29:Z39" si="15">IF(T29=0,0,X29/T29)</f>
        <v>-0.21786268285775875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6">
        <v>18389.099999999999</v>
      </c>
      <c r="E31" s="2"/>
      <c r="F31" s="7">
        <f t="shared" si="8"/>
        <v>0</v>
      </c>
      <c r="G31" s="2"/>
      <c r="H31" s="6">
        <v>16400.769230769201</v>
      </c>
      <c r="I31" s="2"/>
      <c r="J31" s="7">
        <f t="shared" si="9"/>
        <v>0</v>
      </c>
      <c r="K31" s="2"/>
      <c r="L31" s="6">
        <f t="shared" si="10"/>
        <v>1988.3307692307972</v>
      </c>
      <c r="M31" s="2"/>
      <c r="N31" s="7">
        <f t="shared" si="11"/>
        <v>0.12123399465316077</v>
      </c>
      <c r="O31" s="11"/>
      <c r="P31" s="6">
        <v>111027.99</v>
      </c>
      <c r="Q31" s="2"/>
      <c r="R31" s="7">
        <f t="shared" si="12"/>
        <v>0</v>
      </c>
      <c r="S31" s="2"/>
      <c r="T31" s="6">
        <v>106605</v>
      </c>
      <c r="U31" s="2"/>
      <c r="V31" s="7">
        <f t="shared" si="13"/>
        <v>0</v>
      </c>
      <c r="W31" s="2"/>
      <c r="X31" s="6">
        <f t="shared" si="14"/>
        <v>4422.9900000000052</v>
      </c>
      <c r="Y31" s="2"/>
      <c r="Z31" s="7">
        <f t="shared" si="15"/>
        <v>4.1489517377233762E-2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5438.4</v>
      </c>
      <c r="I33" s="2"/>
      <c r="J33" s="7">
        <f t="shared" si="9"/>
        <v>0</v>
      </c>
      <c r="K33" s="2"/>
      <c r="L33" s="6">
        <f t="shared" si="10"/>
        <v>-5438.4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35349.599999999999</v>
      </c>
      <c r="U33" s="2"/>
      <c r="V33" s="7">
        <f t="shared" si="13"/>
        <v>0</v>
      </c>
      <c r="W33" s="2"/>
      <c r="X33" s="6">
        <f t="shared" si="14"/>
        <v>-35349.599999999999</v>
      </c>
      <c r="Y33" s="2"/>
      <c r="Z33" s="7">
        <f t="shared" si="15"/>
        <v>-1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4" si="16">IF(D$12=0,0,D40/D$12)</f>
        <v>0</v>
      </c>
      <c r="G40" s="1"/>
      <c r="H40" s="1">
        <f>SUM(OSRRefH22_2x_0)</f>
        <v>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0</v>
      </c>
      <c r="M40" s="1"/>
      <c r="N40" s="5">
        <f t="shared" ref="N40:N44" si="19">IF(H40=0,0,L40/H40)</f>
        <v>0</v>
      </c>
      <c r="O40" s="14"/>
      <c r="P40" s="1">
        <f>SUM(OSRRefP22_2x_0)</f>
        <v>0</v>
      </c>
      <c r="Q40" s="1"/>
      <c r="R40" s="5">
        <f t="shared" ref="R40:R44" si="20">IF(P$12=0,0,P40/P$12)</f>
        <v>0</v>
      </c>
      <c r="S40" s="1"/>
      <c r="T40" s="1">
        <f>SUM(OSRRefT22_2x_0)</f>
        <v>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0</v>
      </c>
      <c r="Y40" s="1"/>
      <c r="Z40" s="5">
        <f t="shared" ref="Z40:Z44" si="23">IF(T40=0,0,X40/T40)</f>
        <v>0</v>
      </c>
    </row>
    <row r="41" spans="1:26" s="24" customFormat="1" hidden="1" outlineLevel="2" x14ac:dyDescent="0.3">
      <c r="A41" s="29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8" customFormat="1" outlineLevel="1" collapsed="1" x14ac:dyDescent="0.3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2140.89</v>
      </c>
      <c r="E42" s="1"/>
      <c r="F42" s="5">
        <f t="shared" si="16"/>
        <v>0</v>
      </c>
      <c r="G42" s="1"/>
      <c r="H42" s="1">
        <f>SUM(OSRRefH22_3x_0)</f>
        <v>2099</v>
      </c>
      <c r="I42" s="1"/>
      <c r="J42" s="5">
        <f t="shared" si="17"/>
        <v>0</v>
      </c>
      <c r="K42" s="1"/>
      <c r="L42" s="1">
        <f t="shared" si="18"/>
        <v>41.889999999999873</v>
      </c>
      <c r="M42" s="1"/>
      <c r="N42" s="5">
        <f t="shared" si="19"/>
        <v>1.9957122439256729E-2</v>
      </c>
      <c r="O42" s="14"/>
      <c r="P42" s="1">
        <f>SUM(OSRRefP22_3x_0)</f>
        <v>21717.78</v>
      </c>
      <c r="Q42" s="1"/>
      <c r="R42" s="5">
        <f t="shared" si="20"/>
        <v>0</v>
      </c>
      <c r="S42" s="1"/>
      <c r="T42" s="1">
        <f>SUM(OSRRefT22_3x_0)</f>
        <v>21465</v>
      </c>
      <c r="U42" s="1"/>
      <c r="V42" s="5">
        <f t="shared" si="21"/>
        <v>0</v>
      </c>
      <c r="W42" s="1"/>
      <c r="X42" s="1">
        <f t="shared" si="22"/>
        <v>252.77999999999884</v>
      </c>
      <c r="Y42" s="1"/>
      <c r="Z42" s="5">
        <f t="shared" si="23"/>
        <v>1.1776380153738591E-2</v>
      </c>
    </row>
    <row r="43" spans="1:26" s="24" customFormat="1" hidden="1" outlineLevel="2" x14ac:dyDescent="0.3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2140.89</v>
      </c>
      <c r="E43" s="2"/>
      <c r="F43" s="7">
        <f t="shared" si="16"/>
        <v>0</v>
      </c>
      <c r="G43" s="2"/>
      <c r="H43" s="6">
        <v>1599</v>
      </c>
      <c r="I43" s="2"/>
      <c r="J43" s="7">
        <f t="shared" si="17"/>
        <v>0</v>
      </c>
      <c r="K43" s="2"/>
      <c r="L43" s="6">
        <f t="shared" si="18"/>
        <v>541.88999999999987</v>
      </c>
      <c r="M43" s="2"/>
      <c r="N43" s="7">
        <f t="shared" si="19"/>
        <v>0.33889305816135079</v>
      </c>
      <c r="O43" s="11"/>
      <c r="P43" s="6">
        <v>21717.78</v>
      </c>
      <c r="Q43" s="2"/>
      <c r="R43" s="7">
        <f t="shared" si="20"/>
        <v>0</v>
      </c>
      <c r="S43" s="2"/>
      <c r="T43" s="6">
        <v>18465</v>
      </c>
      <c r="U43" s="2"/>
      <c r="V43" s="7">
        <f t="shared" si="21"/>
        <v>0</v>
      </c>
      <c r="W43" s="2"/>
      <c r="X43" s="6">
        <f t="shared" si="22"/>
        <v>3252.7799999999988</v>
      </c>
      <c r="Y43" s="2"/>
      <c r="Z43" s="7">
        <f t="shared" si="23"/>
        <v>0.17615922014622251</v>
      </c>
    </row>
    <row r="44" spans="1:26" s="24" customFormat="1" hidden="1" outlineLevel="2" x14ac:dyDescent="0.3">
      <c r="A44" s="29"/>
      <c r="B44" s="11" t="str">
        <f>CONCATENATE("          ", "6324", " - ", "FURNITURE + FIXT DEPRECIATION")</f>
        <v xml:space="preserve">          6324 - FURNITURE + FIXT DEPRECIATION</v>
      </c>
      <c r="C44" s="11"/>
      <c r="D44" s="6"/>
      <c r="E44" s="2"/>
      <c r="F44" s="7">
        <f t="shared" si="16"/>
        <v>0</v>
      </c>
      <c r="G44" s="2"/>
      <c r="H44" s="6">
        <v>500</v>
      </c>
      <c r="I44" s="2"/>
      <c r="J44" s="7">
        <f t="shared" si="17"/>
        <v>0</v>
      </c>
      <c r="K44" s="2"/>
      <c r="L44" s="6">
        <f t="shared" si="18"/>
        <v>-500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3000</v>
      </c>
      <c r="U44" s="2"/>
      <c r="V44" s="7">
        <f t="shared" si="21"/>
        <v>0</v>
      </c>
      <c r="W44" s="2"/>
      <c r="X44" s="6">
        <f t="shared" si="22"/>
        <v>-3000</v>
      </c>
      <c r="Y44" s="2"/>
      <c r="Z44" s="7">
        <f t="shared" si="23"/>
        <v>-1</v>
      </c>
    </row>
    <row r="45" spans="1:26" s="28" customFormat="1" outlineLevel="1" collapsed="1" x14ac:dyDescent="0.3">
      <c r="A45" s="27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SUM(OSRRefD22_4x_0)</f>
        <v>76.569999999999993</v>
      </c>
      <c r="E45" s="1"/>
      <c r="F45" s="5">
        <f t="shared" ref="F45:F51" si="24">IF(D$12=0,0,D45/D$12)</f>
        <v>0</v>
      </c>
      <c r="G45" s="1"/>
      <c r="H45" s="1">
        <f>SUM(OSRRefH22_4x_0)</f>
        <v>75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1.5699999999999932</v>
      </c>
      <c r="M45" s="1"/>
      <c r="N45" s="5">
        <f t="shared" ref="N45:N51" si="27">IF(H45=0,0,L45/H45)</f>
        <v>2.0933333333333241E-2</v>
      </c>
      <c r="O45" s="14"/>
      <c r="P45" s="1">
        <f>SUM(OSRRefP22_4x_0)</f>
        <v>459.42</v>
      </c>
      <c r="Q45" s="1"/>
      <c r="R45" s="5">
        <f t="shared" ref="R45:R51" si="28">IF(P$12=0,0,P45/P$12)</f>
        <v>0</v>
      </c>
      <c r="S45" s="1"/>
      <c r="T45" s="1">
        <f>SUM(OSRRefT22_4x_0)</f>
        <v>450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9.4200000000000159</v>
      </c>
      <c r="Y45" s="1"/>
      <c r="Z45" s="5">
        <f t="shared" ref="Z45:Z51" si="31">IF(T45=0,0,X45/T45)</f>
        <v>2.093333333333337E-2</v>
      </c>
    </row>
    <row r="46" spans="1:26" s="24" customFormat="1" hidden="1" outlineLevel="2" x14ac:dyDescent="0.3">
      <c r="A46" s="29"/>
      <c r="B46" s="11" t="str">
        <f>CONCATENATE("          ", "6314", " - ", "LIABILITY INSURANCE")</f>
        <v xml:space="preserve">          6314 - LIABILITY INSURANCE</v>
      </c>
      <c r="C46" s="11"/>
      <c r="D46" s="6">
        <v>76.569999999999993</v>
      </c>
      <c r="E46" s="2"/>
      <c r="F46" s="7">
        <f t="shared" si="24"/>
        <v>0</v>
      </c>
      <c r="G46" s="2"/>
      <c r="H46" s="6">
        <v>75</v>
      </c>
      <c r="I46" s="2"/>
      <c r="J46" s="7">
        <f t="shared" si="25"/>
        <v>0</v>
      </c>
      <c r="K46" s="2"/>
      <c r="L46" s="6">
        <f t="shared" si="26"/>
        <v>1.5699999999999932</v>
      </c>
      <c r="M46" s="2"/>
      <c r="N46" s="7">
        <f t="shared" si="27"/>
        <v>2.0933333333333241E-2</v>
      </c>
      <c r="O46" s="11"/>
      <c r="P46" s="6">
        <v>459.42</v>
      </c>
      <c r="Q46" s="2"/>
      <c r="R46" s="7">
        <f t="shared" si="28"/>
        <v>0</v>
      </c>
      <c r="S46" s="2"/>
      <c r="T46" s="6">
        <v>450</v>
      </c>
      <c r="U46" s="2"/>
      <c r="V46" s="7">
        <f t="shared" si="29"/>
        <v>0</v>
      </c>
      <c r="W46" s="2"/>
      <c r="X46" s="6">
        <f t="shared" si="30"/>
        <v>9.4200000000000159</v>
      </c>
      <c r="Y46" s="2"/>
      <c r="Z46" s="7">
        <f t="shared" si="31"/>
        <v>2.093333333333337E-2</v>
      </c>
    </row>
    <row r="47" spans="1:26" s="28" customFormat="1" outlineLevel="1" collapsed="1" x14ac:dyDescent="0.3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13219.65</v>
      </c>
      <c r="E47" s="1"/>
      <c r="F47" s="5">
        <f t="shared" si="24"/>
        <v>0</v>
      </c>
      <c r="G47" s="1"/>
      <c r="H47" s="1">
        <f>SUM(OSRRefH22_5x_0)</f>
        <v>10467</v>
      </c>
      <c r="I47" s="1"/>
      <c r="J47" s="5">
        <f t="shared" si="25"/>
        <v>0</v>
      </c>
      <c r="K47" s="1"/>
      <c r="L47" s="1">
        <f t="shared" si="26"/>
        <v>2752.6499999999996</v>
      </c>
      <c r="M47" s="1"/>
      <c r="N47" s="5">
        <f t="shared" si="27"/>
        <v>0.26298366294067066</v>
      </c>
      <c r="O47" s="14"/>
      <c r="P47" s="1">
        <f>SUM(OSRRefP22_5x_0)</f>
        <v>61057.229999999996</v>
      </c>
      <c r="Q47" s="1"/>
      <c r="R47" s="5">
        <f t="shared" si="28"/>
        <v>0</v>
      </c>
      <c r="S47" s="1"/>
      <c r="T47" s="1">
        <f>SUM(OSRRefT22_5x_0)</f>
        <v>65802</v>
      </c>
      <c r="U47" s="1"/>
      <c r="V47" s="5">
        <f t="shared" si="29"/>
        <v>0</v>
      </c>
      <c r="W47" s="1"/>
      <c r="X47" s="1">
        <f t="shared" si="30"/>
        <v>-4744.7700000000041</v>
      </c>
      <c r="Y47" s="1"/>
      <c r="Z47" s="5">
        <f t="shared" si="31"/>
        <v>-7.2106774870064796E-2</v>
      </c>
    </row>
    <row r="48" spans="1:26" s="24" customFormat="1" hidden="1" outlineLevel="2" x14ac:dyDescent="0.3">
      <c r="A48" s="29"/>
      <c r="B48" s="11" t="str">
        <f>CONCATENATE("          ", "6371", " - ", "COMPUTER SOFTWARE MAINTENANCE")</f>
        <v xml:space="preserve">          6371 - COMPUTER SOFTWARE MAINTENANCE</v>
      </c>
      <c r="C48" s="11"/>
      <c r="D48" s="6"/>
      <c r="E48" s="2"/>
      <c r="F48" s="7">
        <f t="shared" si="24"/>
        <v>0</v>
      </c>
      <c r="G48" s="2"/>
      <c r="H48" s="6">
        <v>1000</v>
      </c>
      <c r="I48" s="2"/>
      <c r="J48" s="7">
        <f t="shared" si="25"/>
        <v>0</v>
      </c>
      <c r="K48" s="2"/>
      <c r="L48" s="6">
        <f t="shared" si="26"/>
        <v>-1000</v>
      </c>
      <c r="M48" s="2"/>
      <c r="N48" s="7">
        <f t="shared" si="27"/>
        <v>-1</v>
      </c>
      <c r="O48" s="11"/>
      <c r="P48" s="6">
        <v>1824</v>
      </c>
      <c r="Q48" s="2"/>
      <c r="R48" s="7">
        <f t="shared" si="28"/>
        <v>0</v>
      </c>
      <c r="S48" s="2"/>
      <c r="T48" s="6">
        <v>6000</v>
      </c>
      <c r="U48" s="2"/>
      <c r="V48" s="7">
        <f t="shared" si="29"/>
        <v>0</v>
      </c>
      <c r="W48" s="2"/>
      <c r="X48" s="6">
        <f t="shared" si="30"/>
        <v>-4176</v>
      </c>
      <c r="Y48" s="2"/>
      <c r="Z48" s="7">
        <f t="shared" si="31"/>
        <v>-0.69599999999999995</v>
      </c>
    </row>
    <row r="49" spans="1:26" s="24" customFormat="1" hidden="1" outlineLevel="2" x14ac:dyDescent="0.3">
      <c r="A49" s="29"/>
      <c r="B49" s="11" t="str">
        <f>CONCATENATE("          ", "6372", " - ", "COMPUTER HARDWARE MAINTENANCE")</f>
        <v xml:space="preserve">          6372 - COMPUTER HARDWARE MAINTENANCE</v>
      </c>
      <c r="C49" s="11"/>
      <c r="D49" s="6">
        <v>3752.4</v>
      </c>
      <c r="E49" s="2"/>
      <c r="F49" s="7">
        <f t="shared" si="24"/>
        <v>0</v>
      </c>
      <c r="G49" s="2"/>
      <c r="H49" s="6">
        <v>0</v>
      </c>
      <c r="I49" s="2"/>
      <c r="J49" s="7">
        <f t="shared" si="25"/>
        <v>0</v>
      </c>
      <c r="K49" s="2"/>
      <c r="L49" s="6">
        <f t="shared" si="26"/>
        <v>3752.4</v>
      </c>
      <c r="M49" s="2"/>
      <c r="N49" s="7">
        <f t="shared" si="27"/>
        <v>0</v>
      </c>
      <c r="O49" s="11"/>
      <c r="P49" s="6">
        <v>4760.47</v>
      </c>
      <c r="Q49" s="2"/>
      <c r="R49" s="7">
        <f t="shared" si="28"/>
        <v>0</v>
      </c>
      <c r="S49" s="2"/>
      <c r="T49" s="6">
        <v>3000</v>
      </c>
      <c r="U49" s="2"/>
      <c r="V49" s="7">
        <f t="shared" si="29"/>
        <v>0</v>
      </c>
      <c r="W49" s="2"/>
      <c r="X49" s="6">
        <f t="shared" si="30"/>
        <v>1760.4700000000003</v>
      </c>
      <c r="Y49" s="2"/>
      <c r="Z49" s="7">
        <f t="shared" si="31"/>
        <v>0.58682333333333336</v>
      </c>
    </row>
    <row r="50" spans="1:26" s="24" customFormat="1" hidden="1" outlineLevel="2" x14ac:dyDescent="0.3">
      <c r="A50" s="29"/>
      <c r="B50" s="11" t="str">
        <f>CONCATENATE("          ", "6373", " - ", "MAINTENANCE CONTRACTS")</f>
        <v xml:space="preserve">          6373 - MAINTENANCE CONTRACTS</v>
      </c>
      <c r="C50" s="11"/>
      <c r="D50" s="6">
        <v>9467.25</v>
      </c>
      <c r="E50" s="2"/>
      <c r="F50" s="7">
        <f t="shared" si="24"/>
        <v>0</v>
      </c>
      <c r="G50" s="2"/>
      <c r="H50" s="6">
        <v>9467</v>
      </c>
      <c r="I50" s="2"/>
      <c r="J50" s="7">
        <f t="shared" si="25"/>
        <v>0</v>
      </c>
      <c r="K50" s="2"/>
      <c r="L50" s="6">
        <f t="shared" si="26"/>
        <v>0.25</v>
      </c>
      <c r="M50" s="2"/>
      <c r="N50" s="7">
        <f t="shared" si="27"/>
        <v>2.6407520861941482E-5</v>
      </c>
      <c r="O50" s="11"/>
      <c r="P50" s="6">
        <v>54425.24</v>
      </c>
      <c r="Q50" s="2"/>
      <c r="R50" s="7">
        <f t="shared" si="28"/>
        <v>0</v>
      </c>
      <c r="S50" s="2"/>
      <c r="T50" s="6">
        <v>56802</v>
      </c>
      <c r="U50" s="2"/>
      <c r="V50" s="7">
        <f t="shared" si="29"/>
        <v>0</v>
      </c>
      <c r="W50" s="2"/>
      <c r="X50" s="6">
        <f t="shared" si="30"/>
        <v>-2376.760000000002</v>
      </c>
      <c r="Y50" s="2"/>
      <c r="Z50" s="7">
        <f t="shared" si="31"/>
        <v>-4.184289285588539E-2</v>
      </c>
    </row>
    <row r="51" spans="1:26" s="24" customFormat="1" hidden="1" outlineLevel="2" x14ac:dyDescent="0.3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47.52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47.52</v>
      </c>
      <c r="Y51" s="2"/>
      <c r="Z51" s="7">
        <f t="shared" si="31"/>
        <v>0</v>
      </c>
    </row>
    <row r="52" spans="1:26" s="28" customFormat="1" outlineLevel="1" collapsed="1" x14ac:dyDescent="0.3">
      <c r="A52" s="27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SUM(OSRRefD22_6x_0)</f>
        <v>0</v>
      </c>
      <c r="E52" s="1"/>
      <c r="F52" s="5">
        <f t="shared" ref="F52:F58" si="32">IF(D$12=0,0,D52/D$12)</f>
        <v>0</v>
      </c>
      <c r="G52" s="1"/>
      <c r="H52" s="1">
        <f>SUM(OSRRefH22_6x_0)</f>
        <v>600</v>
      </c>
      <c r="I52" s="1"/>
      <c r="J52" s="5">
        <f t="shared" ref="J52:J58" si="33">IF(H$12=0,0,H52/H$12)</f>
        <v>0</v>
      </c>
      <c r="K52" s="1"/>
      <c r="L52" s="1">
        <f t="shared" ref="L52:L58" si="34">+D52-H52</f>
        <v>-600</v>
      </c>
      <c r="M52" s="1"/>
      <c r="N52" s="5">
        <f t="shared" ref="N52:N58" si="35">IF(H52=0,0,L52/H52)</f>
        <v>-1</v>
      </c>
      <c r="O52" s="14"/>
      <c r="P52" s="1">
        <f>SUM(OSRRefP22_6x_0)</f>
        <v>0</v>
      </c>
      <c r="Q52" s="1"/>
      <c r="R52" s="5">
        <f t="shared" ref="R52:R58" si="36">IF(P$12=0,0,P52/P$12)</f>
        <v>0</v>
      </c>
      <c r="S52" s="1"/>
      <c r="T52" s="1">
        <f>SUM(OSRRefT22_6x_0)</f>
        <v>600</v>
      </c>
      <c r="U52" s="1"/>
      <c r="V52" s="5">
        <f t="shared" ref="V52:V58" si="37">IF(T$12=0,0,T52/T$12)</f>
        <v>0</v>
      </c>
      <c r="W52" s="1"/>
      <c r="X52" s="1">
        <f t="shared" ref="X52:X58" si="38">+P52-T52</f>
        <v>-600</v>
      </c>
      <c r="Y52" s="1"/>
      <c r="Z52" s="5">
        <f t="shared" ref="Z52:Z58" si="39">IF(T52=0,0,X52/T52)</f>
        <v>-1</v>
      </c>
    </row>
    <row r="53" spans="1:26" s="24" customFormat="1" hidden="1" outlineLevel="2" x14ac:dyDescent="0.3">
      <c r="A53" s="29"/>
      <c r="B53" s="11" t="str">
        <f>CONCATENATE("          ", "6275", " - ", "SUBSCRIPTIONS")</f>
        <v xml:space="preserve">          6275 - SUBSCRIPTIONS</v>
      </c>
      <c r="C53" s="11"/>
      <c r="D53" s="6"/>
      <c r="E53" s="2"/>
      <c r="F53" s="7">
        <f t="shared" si="32"/>
        <v>0</v>
      </c>
      <c r="G53" s="2"/>
      <c r="H53" s="6">
        <v>600</v>
      </c>
      <c r="I53" s="2"/>
      <c r="J53" s="7">
        <f t="shared" si="33"/>
        <v>0</v>
      </c>
      <c r="K53" s="2"/>
      <c r="L53" s="6">
        <f t="shared" si="34"/>
        <v>-600</v>
      </c>
      <c r="M53" s="2"/>
      <c r="N53" s="7">
        <f t="shared" si="35"/>
        <v>-1</v>
      </c>
      <c r="O53" s="11"/>
      <c r="P53" s="6"/>
      <c r="Q53" s="2"/>
      <c r="R53" s="7">
        <f t="shared" si="36"/>
        <v>0</v>
      </c>
      <c r="S53" s="2"/>
      <c r="T53" s="6">
        <v>600</v>
      </c>
      <c r="U53" s="2"/>
      <c r="V53" s="7">
        <f t="shared" si="37"/>
        <v>0</v>
      </c>
      <c r="W53" s="2"/>
      <c r="X53" s="6">
        <f t="shared" si="38"/>
        <v>-600</v>
      </c>
      <c r="Y53" s="2"/>
      <c r="Z53" s="7">
        <f t="shared" si="39"/>
        <v>-1</v>
      </c>
    </row>
    <row r="54" spans="1:26" s="28" customFormat="1" outlineLevel="1" collapsed="1" x14ac:dyDescent="0.3">
      <c r="A54" s="27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SUM(OSRRefD22_7x_0)</f>
        <v>0</v>
      </c>
      <c r="E54" s="1"/>
      <c r="F54" s="5">
        <f t="shared" si="32"/>
        <v>0</v>
      </c>
      <c r="G54" s="1"/>
      <c r="H54" s="1">
        <f>SUM(OSRRefH22_7x_0)</f>
        <v>100</v>
      </c>
      <c r="I54" s="1"/>
      <c r="J54" s="5">
        <f t="shared" si="33"/>
        <v>0</v>
      </c>
      <c r="K54" s="1"/>
      <c r="L54" s="1">
        <f t="shared" si="34"/>
        <v>-100</v>
      </c>
      <c r="M54" s="1"/>
      <c r="N54" s="5">
        <f t="shared" si="35"/>
        <v>-1</v>
      </c>
      <c r="O54" s="14"/>
      <c r="P54" s="1">
        <f>SUM(OSRRefP22_7x_0)</f>
        <v>1355.57</v>
      </c>
      <c r="Q54" s="1"/>
      <c r="R54" s="5">
        <f t="shared" si="36"/>
        <v>0</v>
      </c>
      <c r="S54" s="1"/>
      <c r="T54" s="1">
        <f>SUM(OSRRefT22_7x_0)</f>
        <v>600</v>
      </c>
      <c r="U54" s="1"/>
      <c r="V54" s="5">
        <f t="shared" si="37"/>
        <v>0</v>
      </c>
      <c r="W54" s="1"/>
      <c r="X54" s="1">
        <f t="shared" si="38"/>
        <v>755.56999999999994</v>
      </c>
      <c r="Y54" s="1"/>
      <c r="Z54" s="5">
        <f t="shared" si="39"/>
        <v>1.2592833333333333</v>
      </c>
    </row>
    <row r="55" spans="1:26" s="24" customFormat="1" hidden="1" outlineLevel="2" x14ac:dyDescent="0.3">
      <c r="A55" s="29"/>
      <c r="B55" s="11" t="str">
        <f>CONCATENATE("          ", "6241", " - ", "OFFICE EXPENSE")</f>
        <v xml:space="preserve">          6241 - OFFICE EXPENSE</v>
      </c>
      <c r="C55" s="11"/>
      <c r="D55" s="6"/>
      <c r="E55" s="2"/>
      <c r="F55" s="7">
        <f t="shared" si="32"/>
        <v>0</v>
      </c>
      <c r="G55" s="2"/>
      <c r="H55" s="6">
        <v>100</v>
      </c>
      <c r="I55" s="2"/>
      <c r="J55" s="7">
        <f t="shared" si="33"/>
        <v>0</v>
      </c>
      <c r="K55" s="2"/>
      <c r="L55" s="6">
        <f t="shared" si="34"/>
        <v>-100</v>
      </c>
      <c r="M55" s="2"/>
      <c r="N55" s="7">
        <f t="shared" si="35"/>
        <v>-1</v>
      </c>
      <c r="O55" s="11"/>
      <c r="P55" s="6">
        <v>1355.57</v>
      </c>
      <c r="Q55" s="2"/>
      <c r="R55" s="7">
        <f t="shared" si="36"/>
        <v>0</v>
      </c>
      <c r="S55" s="2"/>
      <c r="T55" s="6">
        <v>600</v>
      </c>
      <c r="U55" s="2"/>
      <c r="V55" s="7">
        <f t="shared" si="37"/>
        <v>0</v>
      </c>
      <c r="W55" s="2"/>
      <c r="X55" s="6">
        <f t="shared" si="38"/>
        <v>755.56999999999994</v>
      </c>
      <c r="Y55" s="2"/>
      <c r="Z55" s="7">
        <f t="shared" si="39"/>
        <v>1.2592833333333333</v>
      </c>
    </row>
    <row r="56" spans="1:26" s="28" customFormat="1" outlineLevel="1" collapsed="1" x14ac:dyDescent="0.3">
      <c r="A56" s="27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SUM(OSRRefD22_8x_0)</f>
        <v>519.39</v>
      </c>
      <c r="E56" s="1"/>
      <c r="F56" s="5">
        <f t="shared" si="32"/>
        <v>0</v>
      </c>
      <c r="G56" s="1"/>
      <c r="H56" s="1">
        <f>SUM(OSRRefH22_8x_0)</f>
        <v>500</v>
      </c>
      <c r="I56" s="1"/>
      <c r="J56" s="5">
        <f t="shared" si="33"/>
        <v>0</v>
      </c>
      <c r="K56" s="1"/>
      <c r="L56" s="1">
        <f t="shared" si="34"/>
        <v>19.389999999999986</v>
      </c>
      <c r="M56" s="1"/>
      <c r="N56" s="5">
        <f t="shared" si="35"/>
        <v>3.8779999999999974E-2</v>
      </c>
      <c r="O56" s="14"/>
      <c r="P56" s="1">
        <f>SUM(OSRRefP22_8x_0)</f>
        <v>4910.34</v>
      </c>
      <c r="Q56" s="1"/>
      <c r="R56" s="5">
        <f t="shared" si="36"/>
        <v>0</v>
      </c>
      <c r="S56" s="1"/>
      <c r="T56" s="1">
        <f>SUM(OSRRefT22_8x_0)</f>
        <v>3000</v>
      </c>
      <c r="U56" s="1"/>
      <c r="V56" s="5">
        <f t="shared" si="37"/>
        <v>0</v>
      </c>
      <c r="W56" s="1"/>
      <c r="X56" s="1">
        <f t="shared" si="38"/>
        <v>1910.3400000000001</v>
      </c>
      <c r="Y56" s="1"/>
      <c r="Z56" s="5">
        <f t="shared" si="39"/>
        <v>0.63678000000000001</v>
      </c>
    </row>
    <row r="57" spans="1:26" s="24" customFormat="1" hidden="1" outlineLevel="2" x14ac:dyDescent="0.3">
      <c r="A57" s="29"/>
      <c r="B57" s="11" t="str">
        <f>CONCATENATE("          ", "6303", " - ", "DATA PHONE LINES")</f>
        <v xml:space="preserve">          6303 - DATA PHONE LINES</v>
      </c>
      <c r="C57" s="11"/>
      <c r="D57" s="6">
        <v>81.99</v>
      </c>
      <c r="E57" s="2"/>
      <c r="F57" s="7">
        <f t="shared" si="32"/>
        <v>0</v>
      </c>
      <c r="G57" s="2"/>
      <c r="H57" s="6">
        <v>200</v>
      </c>
      <c r="I57" s="2"/>
      <c r="J57" s="7">
        <f t="shared" si="33"/>
        <v>0</v>
      </c>
      <c r="K57" s="2"/>
      <c r="L57" s="6">
        <f t="shared" si="34"/>
        <v>-118.01</v>
      </c>
      <c r="M57" s="2"/>
      <c r="N57" s="7">
        <f t="shared" si="35"/>
        <v>-0.59005000000000007</v>
      </c>
      <c r="O57" s="11"/>
      <c r="P57" s="6">
        <v>909.89</v>
      </c>
      <c r="Q57" s="2"/>
      <c r="R57" s="7">
        <f t="shared" si="36"/>
        <v>0</v>
      </c>
      <c r="S57" s="2"/>
      <c r="T57" s="6">
        <v>1200</v>
      </c>
      <c r="U57" s="2"/>
      <c r="V57" s="7">
        <f t="shared" si="37"/>
        <v>0</v>
      </c>
      <c r="W57" s="2"/>
      <c r="X57" s="6">
        <f t="shared" si="38"/>
        <v>-290.11</v>
      </c>
      <c r="Y57" s="2"/>
      <c r="Z57" s="7">
        <f t="shared" si="39"/>
        <v>-0.24175833333333335</v>
      </c>
    </row>
    <row r="58" spans="1:26" s="24" customFormat="1" hidden="1" outlineLevel="2" x14ac:dyDescent="0.3">
      <c r="A58" s="29"/>
      <c r="B58" s="11" t="str">
        <f>CONCATENATE("          ", "6309", " - ", "TELEPHONE")</f>
        <v xml:space="preserve">          6309 - TELEPHONE</v>
      </c>
      <c r="C58" s="11"/>
      <c r="D58" s="6">
        <v>437.4</v>
      </c>
      <c r="E58" s="2"/>
      <c r="F58" s="7">
        <f t="shared" si="32"/>
        <v>0</v>
      </c>
      <c r="G58" s="2"/>
      <c r="H58" s="6">
        <v>300</v>
      </c>
      <c r="I58" s="2"/>
      <c r="J58" s="7">
        <f t="shared" si="33"/>
        <v>0</v>
      </c>
      <c r="K58" s="2"/>
      <c r="L58" s="6">
        <f t="shared" si="34"/>
        <v>137.39999999999998</v>
      </c>
      <c r="M58" s="2"/>
      <c r="N58" s="7">
        <f t="shared" si="35"/>
        <v>0.45799999999999991</v>
      </c>
      <c r="O58" s="11"/>
      <c r="P58" s="6">
        <v>4000.45</v>
      </c>
      <c r="Q58" s="2"/>
      <c r="R58" s="7">
        <f t="shared" si="36"/>
        <v>0</v>
      </c>
      <c r="S58" s="2"/>
      <c r="T58" s="6">
        <v>1800</v>
      </c>
      <c r="U58" s="2"/>
      <c r="V58" s="7">
        <f t="shared" si="37"/>
        <v>0</v>
      </c>
      <c r="W58" s="2"/>
      <c r="X58" s="6">
        <f t="shared" si="38"/>
        <v>2200.4499999999998</v>
      </c>
      <c r="Y58" s="2"/>
      <c r="Z58" s="7">
        <f t="shared" si="39"/>
        <v>1.2224722222222222</v>
      </c>
    </row>
    <row r="59" spans="1:26" s="28" customFormat="1" outlineLevel="1" collapsed="1" x14ac:dyDescent="0.3">
      <c r="A59" s="27"/>
      <c r="B59" s="14" t="str">
        <f>CONCATENATE("     ","Training                                          ")</f>
        <v xml:space="preserve">     Training                                          </v>
      </c>
      <c r="C59" s="14"/>
      <c r="D59" s="1">
        <f>SUM(OSRRefD22_9x_0)</f>
        <v>99</v>
      </c>
      <c r="E59" s="1"/>
      <c r="F59" s="5">
        <f t="shared" ref="F59:F62" si="40">IF(D$12=0,0,D59/D$12)</f>
        <v>0</v>
      </c>
      <c r="G59" s="1"/>
      <c r="H59" s="1">
        <f>SUM(OSRRefH22_9x_0)</f>
        <v>0</v>
      </c>
      <c r="I59" s="1"/>
      <c r="J59" s="5">
        <f t="shared" ref="J59:J62" si="41">IF(H$12=0,0,H59/H$12)</f>
        <v>0</v>
      </c>
      <c r="K59" s="1"/>
      <c r="L59" s="1">
        <f t="shared" ref="L59:L62" si="42">+D59-H59</f>
        <v>99</v>
      </c>
      <c r="M59" s="1"/>
      <c r="N59" s="5">
        <f t="shared" ref="N59:N62" si="43">IF(H59=0,0,L59/H59)</f>
        <v>0</v>
      </c>
      <c r="O59" s="14"/>
      <c r="P59" s="1">
        <f>SUM(OSRRefP22_9x_0)</f>
        <v>99</v>
      </c>
      <c r="Q59" s="1"/>
      <c r="R59" s="5">
        <f t="shared" ref="R59:R62" si="44">IF(P$12=0,0,P59/P$12)</f>
        <v>0</v>
      </c>
      <c r="S59" s="1"/>
      <c r="T59" s="1">
        <f>SUM(OSRRefT22_9x_0)</f>
        <v>0</v>
      </c>
      <c r="U59" s="1"/>
      <c r="V59" s="5">
        <f t="shared" ref="V59:V62" si="45">IF(T$12=0,0,T59/T$12)</f>
        <v>0</v>
      </c>
      <c r="W59" s="1"/>
      <c r="X59" s="1">
        <f t="shared" ref="X59:X62" si="46">+P59-T59</f>
        <v>99</v>
      </c>
      <c r="Y59" s="1"/>
      <c r="Z59" s="5">
        <f t="shared" ref="Z59:Z62" si="47">IF(T59=0,0,X59/T59)</f>
        <v>0</v>
      </c>
    </row>
    <row r="60" spans="1:26" s="24" customFormat="1" hidden="1" outlineLevel="2" x14ac:dyDescent="0.3">
      <c r="A60" s="29"/>
      <c r="B60" s="11" t="str">
        <f>CONCATENATE("          ", "6376", " - ", "TRAINING")</f>
        <v xml:space="preserve">          6376 - TRAINING</v>
      </c>
      <c r="C60" s="11"/>
      <c r="D60" s="6">
        <v>99</v>
      </c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99</v>
      </c>
      <c r="M60" s="2"/>
      <c r="N60" s="7">
        <f t="shared" si="43"/>
        <v>0</v>
      </c>
      <c r="O60" s="11"/>
      <c r="P60" s="6">
        <v>99</v>
      </c>
      <c r="Q60" s="2"/>
      <c r="R60" s="7">
        <f t="shared" si="44"/>
        <v>0</v>
      </c>
      <c r="S60" s="2"/>
      <c r="T60" s="6"/>
      <c r="U60" s="2"/>
      <c r="V60" s="7">
        <f t="shared" si="45"/>
        <v>0</v>
      </c>
      <c r="W60" s="2"/>
      <c r="X60" s="6">
        <f t="shared" si="46"/>
        <v>99</v>
      </c>
      <c r="Y60" s="2"/>
      <c r="Z60" s="7">
        <f t="shared" si="47"/>
        <v>0</v>
      </c>
    </row>
    <row r="61" spans="1:26" s="28" customFormat="1" outlineLevel="1" collapsed="1" x14ac:dyDescent="0.3">
      <c r="A61" s="27"/>
      <c r="B61" s="14" t="str">
        <f>CONCATENATE("     ","Travel                                            ")</f>
        <v xml:space="preserve">     Travel                                            </v>
      </c>
      <c r="C61" s="14"/>
      <c r="D61" s="1">
        <f>SUM(OSRRefD22_10x_0)</f>
        <v>0</v>
      </c>
      <c r="E61" s="1"/>
      <c r="F61" s="5">
        <f t="shared" si="40"/>
        <v>0</v>
      </c>
      <c r="G61" s="1"/>
      <c r="H61" s="1">
        <f>SUM(OSRRefH22_10x_0)</f>
        <v>3500</v>
      </c>
      <c r="I61" s="1"/>
      <c r="J61" s="5">
        <f t="shared" si="41"/>
        <v>0</v>
      </c>
      <c r="K61" s="1"/>
      <c r="L61" s="1">
        <f t="shared" si="42"/>
        <v>-3500</v>
      </c>
      <c r="M61" s="1"/>
      <c r="N61" s="5">
        <f t="shared" si="43"/>
        <v>-1</v>
      </c>
      <c r="O61" s="14"/>
      <c r="P61" s="1">
        <f>SUM(OSRRefP22_10x_0)</f>
        <v>0</v>
      </c>
      <c r="Q61" s="1"/>
      <c r="R61" s="5">
        <f t="shared" si="44"/>
        <v>0</v>
      </c>
      <c r="S61" s="1"/>
      <c r="T61" s="1">
        <f>SUM(OSRRefT22_10x_0)</f>
        <v>3500</v>
      </c>
      <c r="U61" s="1"/>
      <c r="V61" s="5">
        <f t="shared" si="45"/>
        <v>0</v>
      </c>
      <c r="W61" s="1"/>
      <c r="X61" s="1">
        <f t="shared" si="46"/>
        <v>-3500</v>
      </c>
      <c r="Y61" s="1"/>
      <c r="Z61" s="5">
        <f t="shared" si="47"/>
        <v>-1</v>
      </c>
    </row>
    <row r="62" spans="1:26" s="24" customFormat="1" hidden="1" outlineLevel="2" x14ac:dyDescent="0.3">
      <c r="A62" s="29"/>
      <c r="B62" s="11" t="str">
        <f>CONCATENATE("          ", "6292", " - ", "TRAVEL/CONFERENCE")</f>
        <v xml:space="preserve">          6292 - TRAVEL/CONFERENCE</v>
      </c>
      <c r="C62" s="11"/>
      <c r="D62" s="6"/>
      <c r="E62" s="2"/>
      <c r="F62" s="7">
        <f t="shared" si="40"/>
        <v>0</v>
      </c>
      <c r="G62" s="2"/>
      <c r="H62" s="6">
        <v>3500</v>
      </c>
      <c r="I62" s="2"/>
      <c r="J62" s="7">
        <f t="shared" si="41"/>
        <v>0</v>
      </c>
      <c r="K62" s="2"/>
      <c r="L62" s="6">
        <f t="shared" si="42"/>
        <v>-3500</v>
      </c>
      <c r="M62" s="2"/>
      <c r="N62" s="7">
        <f t="shared" si="43"/>
        <v>-1</v>
      </c>
      <c r="O62" s="11"/>
      <c r="P62" s="6"/>
      <c r="Q62" s="2"/>
      <c r="R62" s="7">
        <f t="shared" si="44"/>
        <v>0</v>
      </c>
      <c r="S62" s="2"/>
      <c r="T62" s="6">
        <v>3500</v>
      </c>
      <c r="U62" s="2"/>
      <c r="V62" s="7">
        <f t="shared" si="45"/>
        <v>0</v>
      </c>
      <c r="W62" s="2"/>
      <c r="X62" s="6">
        <f t="shared" si="46"/>
        <v>-3500</v>
      </c>
      <c r="Y62" s="2"/>
      <c r="Z62" s="7">
        <f t="shared" si="47"/>
        <v>-1</v>
      </c>
    </row>
    <row r="63" spans="1:26" s="55" customFormat="1" x14ac:dyDescent="0.3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3">
      <c r="A64" s="10"/>
      <c r="B64" s="25" t="s">
        <v>293</v>
      </c>
      <c r="C64" s="10"/>
      <c r="D64" s="4">
        <f>SUM(0)</f>
        <v>0</v>
      </c>
      <c r="E64" s="4"/>
      <c r="F64" s="12">
        <f>IF(D$12=0,0,D64/D$12)</f>
        <v>0</v>
      </c>
      <c r="G64" s="4"/>
      <c r="H64" s="4">
        <f>SUM(0)</f>
        <v>0</v>
      </c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>
        <f>SUM(0)</f>
        <v>0</v>
      </c>
      <c r="Q64" s="4"/>
      <c r="R64" s="12">
        <f>IF(P$12=0,0,P64/P$12)</f>
        <v>0</v>
      </c>
      <c r="S64" s="4"/>
      <c r="T64" s="4">
        <f>SUM(0)</f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3">
      <c r="A66" s="10"/>
      <c r="B66" s="26" t="s">
        <v>277</v>
      </c>
      <c r="C66" s="26"/>
      <c r="D66" s="20">
        <f>+D16-D18+D64</f>
        <v>-45531.519999999997</v>
      </c>
      <c r="E66" s="13"/>
      <c r="F66" s="22">
        <f>IF(D$12=0,0,D66/D$12)</f>
        <v>0</v>
      </c>
      <c r="G66" s="13"/>
      <c r="H66" s="20">
        <f>+H16-H18+H64</f>
        <v>-50302.666047384599</v>
      </c>
      <c r="I66" s="13"/>
      <c r="J66" s="22">
        <f>IF(H$12=0,0,H66/H$12)</f>
        <v>0</v>
      </c>
      <c r="K66" s="16"/>
      <c r="L66" s="20">
        <f>+D66-H66</f>
        <v>4771.1460473846018</v>
      </c>
      <c r="M66" s="16"/>
      <c r="N66" s="22">
        <f>IF(H66=0,0,L66/H66)</f>
        <v>-9.4848770895964662E-2</v>
      </c>
      <c r="O66" s="25"/>
      <c r="P66" s="20">
        <f>+P16-P18+P64</f>
        <v>-267959.36000000004</v>
      </c>
      <c r="Q66" s="13"/>
      <c r="R66" s="22">
        <f>IF(P$12=0,0,P66/P$12)</f>
        <v>0</v>
      </c>
      <c r="S66" s="13"/>
      <c r="T66" s="20">
        <f>+T16-T18+T64</f>
        <v>-306849.82930800004</v>
      </c>
      <c r="U66" s="13"/>
      <c r="V66" s="22">
        <f>IF(T$12=0,0,T66/T$12)</f>
        <v>0</v>
      </c>
      <c r="W66" s="16"/>
      <c r="X66" s="20">
        <f>+P66-T66</f>
        <v>38890.469308</v>
      </c>
      <c r="Y66" s="16"/>
      <c r="Z66" s="22">
        <f>IF(T66=0,0,X66/T66)</f>
        <v>-0.12674104918260767</v>
      </c>
    </row>
    <row r="67" spans="1:26" x14ac:dyDescent="0.3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3">
      <c r="A68" s="52"/>
      <c r="B68" s="10" t="s">
        <v>128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3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6" t="s">
        <v>126</v>
      </c>
      <c r="C70" s="26"/>
      <c r="D70" s="31">
        <f>+D66-D68</f>
        <v>-45531.519999999997</v>
      </c>
      <c r="E70" s="13"/>
      <c r="F70" s="30">
        <f>IF(D$12=0,0,D70/D$12)</f>
        <v>0</v>
      </c>
      <c r="G70" s="13"/>
      <c r="H70" s="31">
        <f>+H66-H68</f>
        <v>-50302.666047384599</v>
      </c>
      <c r="I70" s="13"/>
      <c r="J70" s="30">
        <f>IF(H$12=0,0,H70/H$12)</f>
        <v>0</v>
      </c>
      <c r="K70" s="16"/>
      <c r="L70" s="31">
        <f>D70-H70</f>
        <v>4771.1460473846018</v>
      </c>
      <c r="M70" s="16"/>
      <c r="N70" s="30">
        <f>IF(H70=0,0,L70/H70)</f>
        <v>-9.4848770895964662E-2</v>
      </c>
      <c r="O70" s="25"/>
      <c r="P70" s="31">
        <f>+P66-P68</f>
        <v>-267959.36000000004</v>
      </c>
      <c r="Q70" s="13"/>
      <c r="R70" s="30">
        <f>IF(P$12=0,0,P70/P$12)</f>
        <v>0</v>
      </c>
      <c r="S70" s="13"/>
      <c r="T70" s="31">
        <f>+T66-T68</f>
        <v>-306849.82930800004</v>
      </c>
      <c r="U70" s="13"/>
      <c r="V70" s="30">
        <f>IF(T$12=0,0,T70/T$12)</f>
        <v>0</v>
      </c>
      <c r="W70" s="16"/>
      <c r="X70" s="31">
        <f>P70-T70</f>
        <v>38890.469308</v>
      </c>
      <c r="Y70" s="16"/>
      <c r="Z70" s="30">
        <f>IF(T70=0,0,X70/T70)</f>
        <v>-0.12674104918260767</v>
      </c>
    </row>
    <row r="71" spans="1:26" ht="15" thickTop="1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" thickBot="1" x14ac:dyDescent="0.35">
      <c r="A73" s="10"/>
      <c r="B73" s="26" t="s">
        <v>294</v>
      </c>
      <c r="C73" s="26"/>
      <c r="D73" s="35">
        <f>SUM(D70:D72)</f>
        <v>-45531.519999999997</v>
      </c>
      <c r="E73" s="13"/>
      <c r="F73" s="34">
        <f>IF(D$12=0,0,D73/D$12)</f>
        <v>0</v>
      </c>
      <c r="G73" s="13"/>
      <c r="H73" s="35">
        <f>SUM(H70:H72)</f>
        <v>-50302.666047384599</v>
      </c>
      <c r="I73" s="13"/>
      <c r="J73" s="34">
        <f>IF(H$12=0,0,H73/H$12)</f>
        <v>0</v>
      </c>
      <c r="K73" s="16"/>
      <c r="L73" s="35">
        <f>+D73-H73</f>
        <v>4771.1460473846018</v>
      </c>
      <c r="M73" s="16"/>
      <c r="N73" s="34">
        <f>IF(H73=0,0,L73/H73)</f>
        <v>-9.4848770895964662E-2</v>
      </c>
      <c r="O73" s="25"/>
      <c r="P73" s="35">
        <f>SUM(P70:P72)</f>
        <v>-267959.36000000004</v>
      </c>
      <c r="Q73" s="13"/>
      <c r="R73" s="34">
        <f>IF(P$12=0,0,P73/P$12)</f>
        <v>0</v>
      </c>
      <c r="S73" s="13"/>
      <c r="T73" s="35">
        <f>SUM(T70:T72)</f>
        <v>-306849.82930800004</v>
      </c>
      <c r="U73" s="13"/>
      <c r="V73" s="34">
        <f>IF(T$12=0,0,T73/T$12)</f>
        <v>0</v>
      </c>
      <c r="W73" s="16"/>
      <c r="X73" s="35">
        <f>+P73-T73</f>
        <v>38890.469308</v>
      </c>
      <c r="Y73" s="16"/>
      <c r="Z73" s="34">
        <f>IF(T73=0,0,X73/T73)</f>
        <v>-0.12674104918260767</v>
      </c>
    </row>
    <row r="74" spans="1:26" ht="15" thickTop="1" x14ac:dyDescent="0.3">
      <c r="A74" s="9"/>
      <c r="C74" s="9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3">
      <c r="A75" s="9"/>
      <c r="B75" s="61">
        <v>44575.842125659721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3">
      <c r="A76" s="9"/>
      <c r="B76" s="62" t="s">
        <v>56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3">
      <c r="A77" s="9"/>
      <c r="B77" s="53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"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","205", " - ", "Maintenance")</f>
        <v>Department 205 - Maintenance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7684.0999999999995</v>
      </c>
      <c r="E18" s="21"/>
      <c r="F18" s="32">
        <f t="shared" ref="F18:F28" si="0">IF(D$12=0,0,D18/D$12)</f>
        <v>0</v>
      </c>
      <c r="G18" s="21"/>
      <c r="H18" s="21">
        <f>SUM(OSRRefH22x_0)</f>
        <v>7437.9665799999993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246.13342000000011</v>
      </c>
      <c r="M18" s="4"/>
      <c r="N18" s="32">
        <f t="shared" ref="N18:N28" si="3">IF(H18=0,0,L18/H18)</f>
        <v>3.3091493132253375E-2</v>
      </c>
      <c r="O18" s="10"/>
      <c r="P18" s="21">
        <f>SUM(OSRRefP22x_0)</f>
        <v>45733.289999999994</v>
      </c>
      <c r="Q18" s="21"/>
      <c r="R18" s="32">
        <f t="shared" ref="R18:R28" si="4">IF(P$12=0,0,P18/P$12)</f>
        <v>0</v>
      </c>
      <c r="S18" s="21"/>
      <c r="T18" s="21">
        <f>SUM(OSRRefT22x_0)</f>
        <v>51379.282769999998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-5645.9927700000044</v>
      </c>
      <c r="Y18" s="4"/>
      <c r="Z18" s="32">
        <f t="shared" ref="Z18:Z28" si="7">IF(T18=0,0,X18/T18)</f>
        <v>-0.10988850886211007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2506.41</v>
      </c>
      <c r="E19" s="1"/>
      <c r="F19" s="5">
        <f t="shared" si="0"/>
        <v>0</v>
      </c>
      <c r="G19" s="1"/>
      <c r="H19" s="1">
        <f>SUM(OSRRefH22_0x_0)</f>
        <v>1854.7865799999997</v>
      </c>
      <c r="I19" s="1"/>
      <c r="J19" s="5">
        <f t="shared" si="1"/>
        <v>0</v>
      </c>
      <c r="K19" s="1"/>
      <c r="L19" s="1">
        <f t="shared" si="2"/>
        <v>651.62342000000012</v>
      </c>
      <c r="M19" s="1"/>
      <c r="N19" s="5">
        <f t="shared" si="3"/>
        <v>0.35131989147775711</v>
      </c>
      <c r="O19" s="14"/>
      <c r="P19" s="1">
        <f>SUM(OSRRefP22_0x_0)</f>
        <v>15254.01</v>
      </c>
      <c r="Q19" s="1"/>
      <c r="R19" s="5">
        <f t="shared" si="4"/>
        <v>0</v>
      </c>
      <c r="S19" s="1"/>
      <c r="T19" s="1">
        <f>SUM(OSRRefT22_0x_0)</f>
        <v>11968.61277</v>
      </c>
      <c r="U19" s="1"/>
      <c r="V19" s="5">
        <f t="shared" si="5"/>
        <v>0</v>
      </c>
      <c r="W19" s="1"/>
      <c r="X19" s="1">
        <f t="shared" si="6"/>
        <v>3285.3972300000005</v>
      </c>
      <c r="Y19" s="1"/>
      <c r="Z19" s="5">
        <f t="shared" si="7"/>
        <v>0.27450108823263403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>
        <v>336.48</v>
      </c>
      <c r="E20" s="2"/>
      <c r="F20" s="7">
        <f t="shared" si="0"/>
        <v>0</v>
      </c>
      <c r="G20" s="2"/>
      <c r="H20" s="6">
        <v>331.06878</v>
      </c>
      <c r="I20" s="2"/>
      <c r="J20" s="7">
        <f t="shared" si="1"/>
        <v>0</v>
      </c>
      <c r="K20" s="2"/>
      <c r="L20" s="6">
        <f t="shared" si="2"/>
        <v>5.4112200000000144</v>
      </c>
      <c r="M20" s="2"/>
      <c r="N20" s="7">
        <f t="shared" si="3"/>
        <v>1.6344700336890765E-2</v>
      </c>
      <c r="O20" s="11"/>
      <c r="P20" s="6">
        <v>2150.1</v>
      </c>
      <c r="Q20" s="2"/>
      <c r="R20" s="7">
        <f t="shared" si="4"/>
        <v>0</v>
      </c>
      <c r="S20" s="2"/>
      <c r="T20" s="6">
        <v>2151.9470700000002</v>
      </c>
      <c r="U20" s="2"/>
      <c r="V20" s="7">
        <f t="shared" si="5"/>
        <v>0</v>
      </c>
      <c r="W20" s="2"/>
      <c r="X20" s="6">
        <f t="shared" si="6"/>
        <v>-1.847070000000258</v>
      </c>
      <c r="Y20" s="2"/>
      <c r="Z20" s="7">
        <f t="shared" si="7"/>
        <v>-8.5832501447178158E-4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242.1</v>
      </c>
      <c r="E21" s="2"/>
      <c r="F21" s="7">
        <f t="shared" si="0"/>
        <v>0</v>
      </c>
      <c r="G21" s="2"/>
      <c r="H21" s="6">
        <v>295.03320000000002</v>
      </c>
      <c r="I21" s="2"/>
      <c r="J21" s="7">
        <f t="shared" si="1"/>
        <v>0</v>
      </c>
      <c r="K21" s="2"/>
      <c r="L21" s="6">
        <f t="shared" si="2"/>
        <v>-52.933200000000028</v>
      </c>
      <c r="M21" s="2"/>
      <c r="N21" s="7">
        <f t="shared" si="3"/>
        <v>-0.17941438455062014</v>
      </c>
      <c r="O21" s="11"/>
      <c r="P21" s="6">
        <v>1546.22</v>
      </c>
      <c r="Q21" s="2"/>
      <c r="R21" s="7">
        <f t="shared" si="4"/>
        <v>0</v>
      </c>
      <c r="S21" s="2"/>
      <c r="T21" s="6">
        <v>1917.7157999999999</v>
      </c>
      <c r="U21" s="2"/>
      <c r="V21" s="7">
        <f t="shared" si="5"/>
        <v>0</v>
      </c>
      <c r="W21" s="2"/>
      <c r="X21" s="6">
        <f t="shared" si="6"/>
        <v>-371.49579999999992</v>
      </c>
      <c r="Y21" s="2"/>
      <c r="Z21" s="7">
        <f t="shared" si="7"/>
        <v>-0.19371785954936593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612</v>
      </c>
      <c r="I22" s="2"/>
      <c r="J22" s="7">
        <f t="shared" si="1"/>
        <v>0</v>
      </c>
      <c r="K22" s="2"/>
      <c r="L22" s="6">
        <f t="shared" si="2"/>
        <v>84.159999999999968</v>
      </c>
      <c r="M22" s="2"/>
      <c r="N22" s="7">
        <f t="shared" si="3"/>
        <v>0.137516339869281</v>
      </c>
      <c r="O22" s="11"/>
      <c r="P22" s="6">
        <v>4188.21</v>
      </c>
      <c r="Q22" s="2"/>
      <c r="R22" s="7">
        <f t="shared" si="4"/>
        <v>0</v>
      </c>
      <c r="S22" s="2"/>
      <c r="T22" s="6">
        <v>3978</v>
      </c>
      <c r="U22" s="2"/>
      <c r="V22" s="7">
        <f t="shared" si="5"/>
        <v>0</v>
      </c>
      <c r="W22" s="2"/>
      <c r="X22" s="6">
        <f t="shared" si="6"/>
        <v>210.21000000000004</v>
      </c>
      <c r="Y22" s="2"/>
      <c r="Z22" s="7">
        <f t="shared" si="7"/>
        <v>5.2843137254901973E-2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11.38</v>
      </c>
      <c r="E23" s="2"/>
      <c r="F23" s="7">
        <f t="shared" si="0"/>
        <v>0</v>
      </c>
      <c r="G23" s="2"/>
      <c r="H23" s="6">
        <v>9.0846</v>
      </c>
      <c r="I23" s="2"/>
      <c r="J23" s="7">
        <f t="shared" si="1"/>
        <v>0</v>
      </c>
      <c r="K23" s="2"/>
      <c r="L23" s="6">
        <f t="shared" si="2"/>
        <v>2.2954000000000008</v>
      </c>
      <c r="M23" s="2"/>
      <c r="N23" s="7">
        <f t="shared" si="3"/>
        <v>0.25266935253065637</v>
      </c>
      <c r="O23" s="11"/>
      <c r="P23" s="6">
        <v>72.69</v>
      </c>
      <c r="Q23" s="2"/>
      <c r="R23" s="7">
        <f t="shared" si="4"/>
        <v>0</v>
      </c>
      <c r="S23" s="2"/>
      <c r="T23" s="6">
        <v>59.049900000000001</v>
      </c>
      <c r="U23" s="2"/>
      <c r="V23" s="7">
        <f t="shared" si="5"/>
        <v>0</v>
      </c>
      <c r="W23" s="2"/>
      <c r="X23" s="6">
        <f t="shared" si="6"/>
        <v>13.640099999999997</v>
      </c>
      <c r="Y23" s="2"/>
      <c r="Z23" s="7">
        <f t="shared" si="7"/>
        <v>0.23099277052120321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>
        <v>475.21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475.21</v>
      </c>
      <c r="M24" s="2"/>
      <c r="N24" s="7">
        <f t="shared" si="3"/>
        <v>0</v>
      </c>
      <c r="O24" s="11"/>
      <c r="P24" s="6">
        <v>3006.61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3006.61</v>
      </c>
      <c r="Y24" s="2"/>
      <c r="Z24" s="7">
        <f t="shared" si="7"/>
        <v>0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6">
        <v>403.46</v>
      </c>
      <c r="E26" s="2"/>
      <c r="F26" s="7">
        <f t="shared" si="0"/>
        <v>0</v>
      </c>
      <c r="G26" s="2"/>
      <c r="H26" s="6">
        <v>346.08</v>
      </c>
      <c r="I26" s="2"/>
      <c r="J26" s="7">
        <f t="shared" si="1"/>
        <v>0</v>
      </c>
      <c r="K26" s="2"/>
      <c r="L26" s="6">
        <f t="shared" si="2"/>
        <v>57.379999999999995</v>
      </c>
      <c r="M26" s="2"/>
      <c r="N26" s="7">
        <f t="shared" si="3"/>
        <v>0.16579981507165972</v>
      </c>
      <c r="O26" s="11"/>
      <c r="P26" s="6">
        <v>2059.2600000000002</v>
      </c>
      <c r="Q26" s="2"/>
      <c r="R26" s="7">
        <f t="shared" si="4"/>
        <v>0</v>
      </c>
      <c r="S26" s="2"/>
      <c r="T26" s="6">
        <v>2249.52</v>
      </c>
      <c r="U26" s="2"/>
      <c r="V26" s="7">
        <f t="shared" si="5"/>
        <v>0</v>
      </c>
      <c r="W26" s="2"/>
      <c r="X26" s="6">
        <f t="shared" si="6"/>
        <v>-190.25999999999976</v>
      </c>
      <c r="Y26" s="2"/>
      <c r="Z26" s="7">
        <f t="shared" si="7"/>
        <v>-8.4578043315907292E-2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6">
        <v>201.46</v>
      </c>
      <c r="E27" s="2"/>
      <c r="F27" s="7">
        <f t="shared" si="0"/>
        <v>0</v>
      </c>
      <c r="G27" s="2"/>
      <c r="H27" s="6">
        <v>86.52</v>
      </c>
      <c r="I27" s="2"/>
      <c r="J27" s="7">
        <f t="shared" si="1"/>
        <v>0</v>
      </c>
      <c r="K27" s="2"/>
      <c r="L27" s="6">
        <f t="shared" si="2"/>
        <v>114.94000000000001</v>
      </c>
      <c r="M27" s="2"/>
      <c r="N27" s="7">
        <f t="shared" si="3"/>
        <v>1.3284789644012946</v>
      </c>
      <c r="O27" s="11"/>
      <c r="P27" s="6">
        <v>1274.6600000000001</v>
      </c>
      <c r="Q27" s="2"/>
      <c r="R27" s="7">
        <f t="shared" si="4"/>
        <v>0</v>
      </c>
      <c r="S27" s="2"/>
      <c r="T27" s="6">
        <v>562.38</v>
      </c>
      <c r="U27" s="2"/>
      <c r="V27" s="7">
        <f t="shared" si="5"/>
        <v>0</v>
      </c>
      <c r="W27" s="2"/>
      <c r="X27" s="6">
        <f t="shared" si="6"/>
        <v>712.28000000000009</v>
      </c>
      <c r="Y27" s="2"/>
      <c r="Z27" s="7">
        <f t="shared" si="7"/>
        <v>1.2665457519826453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6">
        <v>140.16</v>
      </c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-34.840000000000003</v>
      </c>
      <c r="M28" s="2"/>
      <c r="N28" s="7">
        <f t="shared" si="3"/>
        <v>-0.19908571428571431</v>
      </c>
      <c r="O28" s="11"/>
      <c r="P28" s="6">
        <v>956.26</v>
      </c>
      <c r="Q28" s="2"/>
      <c r="R28" s="7">
        <f t="shared" si="4"/>
        <v>0</v>
      </c>
      <c r="S28" s="2"/>
      <c r="T28" s="6">
        <v>1050</v>
      </c>
      <c r="U28" s="2"/>
      <c r="V28" s="7">
        <f t="shared" si="5"/>
        <v>0</v>
      </c>
      <c r="W28" s="2"/>
      <c r="X28" s="6">
        <f t="shared" si="6"/>
        <v>-93.740000000000009</v>
      </c>
      <c r="Y28" s="2"/>
      <c r="Z28" s="7">
        <f t="shared" si="7"/>
        <v>-8.9276190476190481E-2</v>
      </c>
    </row>
    <row r="29" spans="1:26" s="28" customFormat="1" outlineLevel="1" collapsed="1" x14ac:dyDescent="0.3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3992.37</v>
      </c>
      <c r="E29" s="1"/>
      <c r="F29" s="5">
        <f t="shared" ref="F29:F39" si="8">IF(D$12=0,0,D29/D$12)</f>
        <v>0</v>
      </c>
      <c r="G29" s="1"/>
      <c r="H29" s="1">
        <f>SUM(OSRRefH22_1x_0)</f>
        <v>4023.18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-30.809999999999945</v>
      </c>
      <c r="M29" s="1"/>
      <c r="N29" s="5">
        <f t="shared" ref="N29:N39" si="11">IF(H29=0,0,L29/H29)</f>
        <v>-7.658121187717166E-3</v>
      </c>
      <c r="O29" s="14"/>
      <c r="P29" s="1">
        <f>SUM(OSRRefP22_1x_0)</f>
        <v>24852.75</v>
      </c>
      <c r="Q29" s="1"/>
      <c r="R29" s="5">
        <f t="shared" ref="R29:R39" si="12">IF(P$12=0,0,P29/P$12)</f>
        <v>0</v>
      </c>
      <c r="S29" s="1"/>
      <c r="T29" s="1">
        <f>SUM(OSRRefT22_1x_0)</f>
        <v>26150.67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-1297.9199999999983</v>
      </c>
      <c r="Y29" s="1"/>
      <c r="Z29" s="5">
        <f t="shared" ref="Z29:Z39" si="15">IF(T29=0,0,X29/T29)</f>
        <v>-4.9632380355837856E-2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6">
        <v>3992.37</v>
      </c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3992.37</v>
      </c>
      <c r="M31" s="2"/>
      <c r="N31" s="7">
        <f t="shared" si="11"/>
        <v>0</v>
      </c>
      <c r="O31" s="11"/>
      <c r="P31" s="6">
        <v>24852.75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24852.75</v>
      </c>
      <c r="Y31" s="2"/>
      <c r="Z31" s="7">
        <f t="shared" si="15"/>
        <v>0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4023.18</v>
      </c>
      <c r="I33" s="2"/>
      <c r="J33" s="7">
        <f t="shared" si="9"/>
        <v>0</v>
      </c>
      <c r="K33" s="2"/>
      <c r="L33" s="6">
        <f t="shared" si="10"/>
        <v>-4023.18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26150.67</v>
      </c>
      <c r="U33" s="2"/>
      <c r="V33" s="7">
        <f t="shared" si="13"/>
        <v>0</v>
      </c>
      <c r="W33" s="2"/>
      <c r="X33" s="6">
        <f t="shared" si="14"/>
        <v>-26150.67</v>
      </c>
      <c r="Y33" s="2"/>
      <c r="Z33" s="7">
        <f t="shared" si="15"/>
        <v>-1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-150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150</v>
      </c>
      <c r="M40" s="1"/>
      <c r="N40" s="5">
        <f t="shared" ref="N40:N46" si="19">IF(H40=0,0,L40/H40)</f>
        <v>-1</v>
      </c>
      <c r="O40" s="14"/>
      <c r="P40" s="1">
        <f>SUM(OSRRefP22_2x_0)</f>
        <v>-906.57</v>
      </c>
      <c r="Q40" s="1"/>
      <c r="R40" s="5">
        <f t="shared" ref="R40:R46" si="20">IF(P$12=0,0,P40/P$12)</f>
        <v>0</v>
      </c>
      <c r="S40" s="1"/>
      <c r="T40" s="1">
        <f>SUM(OSRRefT22_2x_0)</f>
        <v>-600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-306.57000000000005</v>
      </c>
      <c r="Y40" s="1"/>
      <c r="Z40" s="5">
        <f t="shared" ref="Z40:Z46" si="23">IF(T40=0,0,X40/T40)</f>
        <v>0.51095000000000013</v>
      </c>
    </row>
    <row r="41" spans="1:26" s="24" customFormat="1" hidden="1" outlineLevel="2" x14ac:dyDescent="0.3">
      <c r="A41" s="29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>
        <v>-150</v>
      </c>
      <c r="I41" s="2"/>
      <c r="J41" s="7">
        <f t="shared" si="17"/>
        <v>0</v>
      </c>
      <c r="K41" s="2"/>
      <c r="L41" s="6">
        <f t="shared" si="18"/>
        <v>150</v>
      </c>
      <c r="M41" s="2"/>
      <c r="N41" s="7">
        <f t="shared" si="19"/>
        <v>-1</v>
      </c>
      <c r="O41" s="11"/>
      <c r="P41" s="6">
        <v>-906.57</v>
      </c>
      <c r="Q41" s="2"/>
      <c r="R41" s="7">
        <f t="shared" si="20"/>
        <v>0</v>
      </c>
      <c r="S41" s="2"/>
      <c r="T41" s="6">
        <v>-600</v>
      </c>
      <c r="U41" s="2"/>
      <c r="V41" s="7">
        <f t="shared" si="21"/>
        <v>0</v>
      </c>
      <c r="W41" s="2"/>
      <c r="X41" s="6">
        <f t="shared" si="22"/>
        <v>-306.57000000000005</v>
      </c>
      <c r="Y41" s="2"/>
      <c r="Z41" s="7">
        <f t="shared" si="23"/>
        <v>0.51095000000000013</v>
      </c>
    </row>
    <row r="42" spans="1:26" s="28" customFormat="1" outlineLevel="1" collapsed="1" x14ac:dyDescent="0.3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33.380000000000003</v>
      </c>
      <c r="E42" s="1"/>
      <c r="F42" s="5">
        <f t="shared" si="16"/>
        <v>0</v>
      </c>
      <c r="G42" s="1"/>
      <c r="H42" s="1">
        <f>SUM(OSRRefH22_3x_0)</f>
        <v>35</v>
      </c>
      <c r="I42" s="1"/>
      <c r="J42" s="5">
        <f t="shared" si="17"/>
        <v>0</v>
      </c>
      <c r="K42" s="1"/>
      <c r="L42" s="1">
        <f t="shared" si="18"/>
        <v>-1.6199999999999974</v>
      </c>
      <c r="M42" s="1"/>
      <c r="N42" s="5">
        <f t="shared" si="19"/>
        <v>-4.6285714285714215E-2</v>
      </c>
      <c r="O42" s="14"/>
      <c r="P42" s="1">
        <f>SUM(OSRRefP22_3x_0)</f>
        <v>200.28</v>
      </c>
      <c r="Q42" s="1"/>
      <c r="R42" s="5">
        <f t="shared" si="20"/>
        <v>0</v>
      </c>
      <c r="S42" s="1"/>
      <c r="T42" s="1">
        <f>SUM(OSRRefT22_3x_0)</f>
        <v>210</v>
      </c>
      <c r="U42" s="1"/>
      <c r="V42" s="5">
        <f t="shared" si="21"/>
        <v>0</v>
      </c>
      <c r="W42" s="1"/>
      <c r="X42" s="1">
        <f t="shared" si="22"/>
        <v>-9.7199999999999989</v>
      </c>
      <c r="Y42" s="1"/>
      <c r="Z42" s="5">
        <f t="shared" si="23"/>
        <v>-4.6285714285714277E-2</v>
      </c>
    </row>
    <row r="43" spans="1:26" s="24" customFormat="1" hidden="1" outlineLevel="2" x14ac:dyDescent="0.3">
      <c r="A43" s="29"/>
      <c r="B43" s="11" t="str">
        <f>CONCATENATE("          ", "6314", " - ", "LIABILITY INSURANCE")</f>
        <v xml:space="preserve">          6314 - LIABILITY INSURANCE</v>
      </c>
      <c r="C43" s="11"/>
      <c r="D43" s="6">
        <v>33.380000000000003</v>
      </c>
      <c r="E43" s="2"/>
      <c r="F43" s="7">
        <f t="shared" si="16"/>
        <v>0</v>
      </c>
      <c r="G43" s="2"/>
      <c r="H43" s="6">
        <v>35</v>
      </c>
      <c r="I43" s="2"/>
      <c r="J43" s="7">
        <f t="shared" si="17"/>
        <v>0</v>
      </c>
      <c r="K43" s="2"/>
      <c r="L43" s="6">
        <f t="shared" si="18"/>
        <v>-1.6199999999999974</v>
      </c>
      <c r="M43" s="2"/>
      <c r="N43" s="7">
        <f t="shared" si="19"/>
        <v>-4.6285714285714215E-2</v>
      </c>
      <c r="O43" s="11"/>
      <c r="P43" s="6">
        <v>200.28</v>
      </c>
      <c r="Q43" s="2"/>
      <c r="R43" s="7">
        <f t="shared" si="20"/>
        <v>0</v>
      </c>
      <c r="S43" s="2"/>
      <c r="T43" s="6">
        <v>210</v>
      </c>
      <c r="U43" s="2"/>
      <c r="V43" s="7">
        <f t="shared" si="21"/>
        <v>0</v>
      </c>
      <c r="W43" s="2"/>
      <c r="X43" s="6">
        <f t="shared" si="22"/>
        <v>-9.7199999999999989</v>
      </c>
      <c r="Y43" s="2"/>
      <c r="Z43" s="7">
        <f t="shared" si="23"/>
        <v>-4.6285714285714277E-2</v>
      </c>
    </row>
    <row r="44" spans="1:26" s="28" customFormat="1" outlineLevel="1" collapsed="1" x14ac:dyDescent="0.3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918.74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-581.26</v>
      </c>
      <c r="M44" s="1"/>
      <c r="N44" s="5">
        <f t="shared" si="19"/>
        <v>-0.38750666666666667</v>
      </c>
      <c r="O44" s="14"/>
      <c r="P44" s="1">
        <f>SUM(OSRRefP22_4x_0)</f>
        <v>5558.52</v>
      </c>
      <c r="Q44" s="1"/>
      <c r="R44" s="5">
        <f t="shared" si="20"/>
        <v>0</v>
      </c>
      <c r="S44" s="1"/>
      <c r="T44" s="1">
        <f>SUM(OSRRefT22_4x_0)</f>
        <v>7600</v>
      </c>
      <c r="U44" s="1"/>
      <c r="V44" s="5">
        <f t="shared" si="21"/>
        <v>0</v>
      </c>
      <c r="W44" s="1"/>
      <c r="X44" s="1">
        <f t="shared" si="22"/>
        <v>-2041.4799999999996</v>
      </c>
      <c r="Y44" s="1"/>
      <c r="Z44" s="5">
        <f t="shared" si="23"/>
        <v>-0.26861578947368414</v>
      </c>
    </row>
    <row r="45" spans="1:26" s="24" customFormat="1" hidden="1" outlineLevel="2" x14ac:dyDescent="0.3">
      <c r="A45" s="29"/>
      <c r="B45" s="11" t="str">
        <f>CONCATENATE("          ", "6373", " - ", "MAINTENANCE CONTRACTS")</f>
        <v xml:space="preserve">          6373 - MAINTENANCE CONTRACTS</v>
      </c>
      <c r="C45" s="11"/>
      <c r="D45" s="6">
        <v>918.74</v>
      </c>
      <c r="E45" s="2"/>
      <c r="F45" s="7">
        <f t="shared" si="16"/>
        <v>0</v>
      </c>
      <c r="G45" s="2"/>
      <c r="H45" s="6">
        <v>1500</v>
      </c>
      <c r="I45" s="2"/>
      <c r="J45" s="7">
        <f t="shared" si="17"/>
        <v>0</v>
      </c>
      <c r="K45" s="2"/>
      <c r="L45" s="6">
        <f t="shared" si="18"/>
        <v>-581.26</v>
      </c>
      <c r="M45" s="2"/>
      <c r="N45" s="7">
        <f t="shared" si="19"/>
        <v>-0.38750666666666667</v>
      </c>
      <c r="O45" s="11"/>
      <c r="P45" s="6">
        <v>5485.68</v>
      </c>
      <c r="Q45" s="2"/>
      <c r="R45" s="7">
        <f t="shared" si="20"/>
        <v>0</v>
      </c>
      <c r="S45" s="2"/>
      <c r="T45" s="6">
        <v>7600</v>
      </c>
      <c r="U45" s="2"/>
      <c r="V45" s="7">
        <f t="shared" si="21"/>
        <v>0</v>
      </c>
      <c r="W45" s="2"/>
      <c r="X45" s="6">
        <f t="shared" si="22"/>
        <v>-2114.3199999999997</v>
      </c>
      <c r="Y45" s="2"/>
      <c r="Z45" s="7">
        <f t="shared" si="23"/>
        <v>-0.27819999999999995</v>
      </c>
    </row>
    <row r="46" spans="1:26" s="24" customFormat="1" hidden="1" outlineLevel="2" x14ac:dyDescent="0.3">
      <c r="A46" s="29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72.84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72.84</v>
      </c>
      <c r="Y46" s="2"/>
      <c r="Z46" s="7">
        <f t="shared" si="23"/>
        <v>0</v>
      </c>
    </row>
    <row r="47" spans="1:26" s="28" customFormat="1" outlineLevel="1" collapsed="1" x14ac:dyDescent="0.3">
      <c r="A47" s="27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150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-150</v>
      </c>
      <c r="Y47" s="1"/>
      <c r="Z47" s="5">
        <f t="shared" ref="Z47:Z52" si="31">IF(T47=0,0,X47/T47)</f>
        <v>-1</v>
      </c>
    </row>
    <row r="48" spans="1:26" s="24" customFormat="1" hidden="1" outlineLevel="2" x14ac:dyDescent="0.3">
      <c r="A48" s="29"/>
      <c r="B48" s="11" t="str">
        <f>CONCATENATE("          ", "6286", " - ", "LAUNDRY EXPENSE")</f>
        <v xml:space="preserve">          6286 - LAUNDRY EXPENSE</v>
      </c>
      <c r="C48" s="11"/>
      <c r="D48" s="6"/>
      <c r="E48" s="2"/>
      <c r="F48" s="7">
        <f t="shared" si="24"/>
        <v>0</v>
      </c>
      <c r="G48" s="2"/>
      <c r="H48" s="6">
        <v>25</v>
      </c>
      <c r="I48" s="2"/>
      <c r="J48" s="7">
        <f t="shared" si="25"/>
        <v>0</v>
      </c>
      <c r="K48" s="2"/>
      <c r="L48" s="6">
        <f t="shared" si="26"/>
        <v>-25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150</v>
      </c>
      <c r="U48" s="2"/>
      <c r="V48" s="7">
        <f t="shared" si="29"/>
        <v>0</v>
      </c>
      <c r="W48" s="2"/>
      <c r="X48" s="6">
        <f t="shared" si="30"/>
        <v>-150</v>
      </c>
      <c r="Y48" s="2"/>
      <c r="Z48" s="7">
        <f t="shared" si="31"/>
        <v>-1</v>
      </c>
    </row>
    <row r="49" spans="1:26" s="28" customFormat="1" outlineLevel="1" collapsed="1" x14ac:dyDescent="0.3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210.2</v>
      </c>
      <c r="E49" s="1"/>
      <c r="F49" s="5">
        <f t="shared" si="24"/>
        <v>0</v>
      </c>
      <c r="G49" s="1"/>
      <c r="H49" s="1">
        <f>SUM(OSRRefH22_6x_0)</f>
        <v>25</v>
      </c>
      <c r="I49" s="1"/>
      <c r="J49" s="5">
        <f t="shared" si="25"/>
        <v>0</v>
      </c>
      <c r="K49" s="1"/>
      <c r="L49" s="1">
        <f t="shared" si="26"/>
        <v>185.2</v>
      </c>
      <c r="M49" s="1"/>
      <c r="N49" s="5">
        <f t="shared" si="27"/>
        <v>7.4079999999999995</v>
      </c>
      <c r="O49" s="14"/>
      <c r="P49" s="1">
        <f>SUM(OSRRefP22_6x_0)</f>
        <v>236.29999999999998</v>
      </c>
      <c r="Q49" s="1"/>
      <c r="R49" s="5">
        <f t="shared" si="28"/>
        <v>0</v>
      </c>
      <c r="S49" s="1"/>
      <c r="T49" s="1">
        <f>SUM(OSRRefT22_6x_0)</f>
        <v>5150</v>
      </c>
      <c r="U49" s="1"/>
      <c r="V49" s="5">
        <f t="shared" si="29"/>
        <v>0</v>
      </c>
      <c r="W49" s="1"/>
      <c r="X49" s="1">
        <f t="shared" si="30"/>
        <v>-4913.7</v>
      </c>
      <c r="Y49" s="1"/>
      <c r="Z49" s="5">
        <f t="shared" si="31"/>
        <v>-0.95411650485436894</v>
      </c>
    </row>
    <row r="50" spans="1:26" s="24" customFormat="1" hidden="1" outlineLevel="2" x14ac:dyDescent="0.3">
      <c r="A50" s="29"/>
      <c r="B50" s="11" t="str">
        <f>CONCATENATE("          ", "6234", " - ", "EXPENDABLE SUPPLIES &amp; EQUIPMEN")</f>
        <v xml:space="preserve">          6234 - EXPENDABLE SUPPLIES &amp; EQUIPMEN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26.1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26.1</v>
      </c>
      <c r="Y50" s="2"/>
      <c r="Z50" s="7">
        <f t="shared" si="31"/>
        <v>0</v>
      </c>
    </row>
    <row r="51" spans="1:26" s="24" customFormat="1" hidden="1" outlineLevel="2" x14ac:dyDescent="0.3">
      <c r="A51" s="29"/>
      <c r="B51" s="11" t="str">
        <f>CONCATENATE("          ", "6241", " - ", "OFFICE EXPENSE")</f>
        <v xml:space="preserve">          6241 - OFFICE EXPENSE</v>
      </c>
      <c r="C51" s="11"/>
      <c r="D51" s="6">
        <v>210.2</v>
      </c>
      <c r="E51" s="2"/>
      <c r="F51" s="7">
        <f t="shared" si="24"/>
        <v>0</v>
      </c>
      <c r="G51" s="2"/>
      <c r="H51" s="6">
        <v>25</v>
      </c>
      <c r="I51" s="2"/>
      <c r="J51" s="7">
        <f t="shared" si="25"/>
        <v>0</v>
      </c>
      <c r="K51" s="2"/>
      <c r="L51" s="6">
        <f t="shared" si="26"/>
        <v>185.2</v>
      </c>
      <c r="M51" s="2"/>
      <c r="N51" s="7">
        <f t="shared" si="27"/>
        <v>7.4079999999999995</v>
      </c>
      <c r="O51" s="11"/>
      <c r="P51" s="6">
        <v>210.2</v>
      </c>
      <c r="Q51" s="2"/>
      <c r="R51" s="7">
        <f t="shared" si="28"/>
        <v>0</v>
      </c>
      <c r="S51" s="2"/>
      <c r="T51" s="6">
        <v>150</v>
      </c>
      <c r="U51" s="2"/>
      <c r="V51" s="7">
        <f t="shared" si="29"/>
        <v>0</v>
      </c>
      <c r="W51" s="2"/>
      <c r="X51" s="6">
        <f t="shared" si="30"/>
        <v>60.199999999999989</v>
      </c>
      <c r="Y51" s="2"/>
      <c r="Z51" s="7">
        <f t="shared" si="31"/>
        <v>0.40133333333333326</v>
      </c>
    </row>
    <row r="52" spans="1:26" s="24" customFormat="1" hidden="1" outlineLevel="2" x14ac:dyDescent="0.3">
      <c r="A52" s="29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5000</v>
      </c>
      <c r="U52" s="2"/>
      <c r="V52" s="7">
        <f t="shared" si="29"/>
        <v>0</v>
      </c>
      <c r="W52" s="2"/>
      <c r="X52" s="6">
        <f t="shared" si="30"/>
        <v>-5000</v>
      </c>
      <c r="Y52" s="2"/>
      <c r="Z52" s="7">
        <f t="shared" si="31"/>
        <v>-1</v>
      </c>
    </row>
    <row r="53" spans="1:26" s="28" customFormat="1" outlineLevel="1" collapsed="1" x14ac:dyDescent="0.3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23</v>
      </c>
      <c r="E53" s="1"/>
      <c r="F53" s="5">
        <f t="shared" ref="F53:F54" si="32">IF(D$12=0,0,D53/D$12)</f>
        <v>0</v>
      </c>
      <c r="G53" s="1"/>
      <c r="H53" s="1">
        <f>SUM(OSRRefH22_7x_0)</f>
        <v>125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-102</v>
      </c>
      <c r="M53" s="1"/>
      <c r="N53" s="5">
        <f t="shared" ref="N53:N54" si="35">IF(H53=0,0,L53/H53)</f>
        <v>-0.81599999999999995</v>
      </c>
      <c r="O53" s="14"/>
      <c r="P53" s="1">
        <f>SUM(OSRRefP22_7x_0)</f>
        <v>538</v>
      </c>
      <c r="Q53" s="1"/>
      <c r="R53" s="5">
        <f t="shared" ref="R53:R54" si="36">IF(P$12=0,0,P53/P$12)</f>
        <v>0</v>
      </c>
      <c r="S53" s="1"/>
      <c r="T53" s="1">
        <f>SUM(OSRRefT22_7x_0)</f>
        <v>750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-212</v>
      </c>
      <c r="Y53" s="1"/>
      <c r="Z53" s="5">
        <f t="shared" ref="Z53:Z54" si="39">IF(T53=0,0,X53/T53)</f>
        <v>-0.28266666666666668</v>
      </c>
    </row>
    <row r="54" spans="1:26" s="24" customFormat="1" hidden="1" outlineLevel="2" x14ac:dyDescent="0.3">
      <c r="A54" s="29"/>
      <c r="B54" s="11" t="str">
        <f>CONCATENATE("          ", "6309", " - ", "TELEPHONE")</f>
        <v xml:space="preserve">          6309 - TELEPHONE</v>
      </c>
      <c r="C54" s="11"/>
      <c r="D54" s="6">
        <v>23</v>
      </c>
      <c r="E54" s="2"/>
      <c r="F54" s="7">
        <f t="shared" si="32"/>
        <v>0</v>
      </c>
      <c r="G54" s="2"/>
      <c r="H54" s="6">
        <v>125</v>
      </c>
      <c r="I54" s="2"/>
      <c r="J54" s="7">
        <f t="shared" si="33"/>
        <v>0</v>
      </c>
      <c r="K54" s="2"/>
      <c r="L54" s="6">
        <f t="shared" si="34"/>
        <v>-102</v>
      </c>
      <c r="M54" s="2"/>
      <c r="N54" s="7">
        <f t="shared" si="35"/>
        <v>-0.81599999999999995</v>
      </c>
      <c r="O54" s="11"/>
      <c r="P54" s="6">
        <v>538</v>
      </c>
      <c r="Q54" s="2"/>
      <c r="R54" s="7">
        <f t="shared" si="36"/>
        <v>0</v>
      </c>
      <c r="S54" s="2"/>
      <c r="T54" s="6">
        <v>750</v>
      </c>
      <c r="U54" s="2"/>
      <c r="V54" s="7">
        <f t="shared" si="37"/>
        <v>0</v>
      </c>
      <c r="W54" s="2"/>
      <c r="X54" s="6">
        <f t="shared" si="38"/>
        <v>-212</v>
      </c>
      <c r="Y54" s="2"/>
      <c r="Z54" s="7">
        <f t="shared" si="39"/>
        <v>-0.28266666666666668</v>
      </c>
    </row>
    <row r="55" spans="1:26" s="55" customFormat="1" x14ac:dyDescent="0.3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5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3">
      <c r="A58" s="10"/>
      <c r="B58" s="26" t="s">
        <v>277</v>
      </c>
      <c r="C58" s="26"/>
      <c r="D58" s="20">
        <f>+D16-D18+D56</f>
        <v>-7684.0999999999995</v>
      </c>
      <c r="E58" s="13"/>
      <c r="F58" s="22">
        <f>IF(D$12=0,0,D58/D$12)</f>
        <v>0</v>
      </c>
      <c r="G58" s="13"/>
      <c r="H58" s="20">
        <f>+H16-H18+H56</f>
        <v>-7437.9665799999993</v>
      </c>
      <c r="I58" s="13"/>
      <c r="J58" s="22">
        <f>IF(H$12=0,0,H58/H$12)</f>
        <v>0</v>
      </c>
      <c r="K58" s="16"/>
      <c r="L58" s="20">
        <f>+D58-H58</f>
        <v>-246.13342000000011</v>
      </c>
      <c r="M58" s="16"/>
      <c r="N58" s="22">
        <f>IF(H58=0,0,L58/H58)</f>
        <v>3.3091493132253375E-2</v>
      </c>
      <c r="O58" s="25"/>
      <c r="P58" s="20">
        <f>+P16-P18+P56</f>
        <v>-45733.289999999994</v>
      </c>
      <c r="Q58" s="13"/>
      <c r="R58" s="22">
        <f>IF(P$12=0,0,P58/P$12)</f>
        <v>0</v>
      </c>
      <c r="S58" s="13"/>
      <c r="T58" s="20">
        <f>+T16-T18+T56</f>
        <v>-51379.282769999998</v>
      </c>
      <c r="U58" s="13"/>
      <c r="V58" s="22">
        <f>IF(T$12=0,0,T58/T$12)</f>
        <v>0</v>
      </c>
      <c r="W58" s="16"/>
      <c r="X58" s="20">
        <f>+P58-T58</f>
        <v>5645.9927700000044</v>
      </c>
      <c r="Y58" s="16"/>
      <c r="Z58" s="22">
        <f>IF(T58=0,0,X58/T58)</f>
        <v>-0.10988850886211007</v>
      </c>
    </row>
    <row r="59" spans="1:26" x14ac:dyDescent="0.3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3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" thickBot="1" x14ac:dyDescent="0.35">
      <c r="A62" s="10"/>
      <c r="B62" s="26" t="s">
        <v>126</v>
      </c>
      <c r="C62" s="26"/>
      <c r="D62" s="31">
        <f>+D58-D60</f>
        <v>-7684.0999999999995</v>
      </c>
      <c r="E62" s="13"/>
      <c r="F62" s="30">
        <f>IF(D$12=0,0,D62/D$12)</f>
        <v>0</v>
      </c>
      <c r="G62" s="13"/>
      <c r="H62" s="31">
        <f>+H58-H60</f>
        <v>-7437.9665799999993</v>
      </c>
      <c r="I62" s="13"/>
      <c r="J62" s="30">
        <f>IF(H$12=0,0,H62/H$12)</f>
        <v>0</v>
      </c>
      <c r="K62" s="16"/>
      <c r="L62" s="31">
        <f>D62-H62</f>
        <v>-246.13342000000011</v>
      </c>
      <c r="M62" s="16"/>
      <c r="N62" s="30">
        <f>IF(H62=0,0,L62/H62)</f>
        <v>3.3091493132253375E-2</v>
      </c>
      <c r="O62" s="25"/>
      <c r="P62" s="31">
        <f>+P58-P60</f>
        <v>-45733.289999999994</v>
      </c>
      <c r="Q62" s="13"/>
      <c r="R62" s="30">
        <f>IF(P$12=0,0,P62/P$12)</f>
        <v>0</v>
      </c>
      <c r="S62" s="13"/>
      <c r="T62" s="31">
        <f>+T58-T60</f>
        <v>-51379.282769999998</v>
      </c>
      <c r="U62" s="13"/>
      <c r="V62" s="30">
        <f>IF(T$12=0,0,T62/T$12)</f>
        <v>0</v>
      </c>
      <c r="W62" s="16"/>
      <c r="X62" s="31">
        <f>P62-T62</f>
        <v>5645.9927700000044</v>
      </c>
      <c r="Y62" s="16"/>
      <c r="Z62" s="30">
        <f>IF(T62=0,0,X62/T62)</f>
        <v>-0.10988850886211007</v>
      </c>
    </row>
    <row r="63" spans="1:26" ht="15" thickTop="1" x14ac:dyDescent="0.3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3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" thickBot="1" x14ac:dyDescent="0.35">
      <c r="A65" s="10"/>
      <c r="B65" s="26" t="s">
        <v>294</v>
      </c>
      <c r="C65" s="26"/>
      <c r="D65" s="35">
        <f>SUM(D62:D64)</f>
        <v>-7684.0999999999995</v>
      </c>
      <c r="E65" s="13"/>
      <c r="F65" s="34">
        <f>IF(D$12=0,0,D65/D$12)</f>
        <v>0</v>
      </c>
      <c r="G65" s="13"/>
      <c r="H65" s="35">
        <f>SUM(H62:H64)</f>
        <v>-7437.9665799999993</v>
      </c>
      <c r="I65" s="13"/>
      <c r="J65" s="34">
        <f>IF(H$12=0,0,H65/H$12)</f>
        <v>0</v>
      </c>
      <c r="K65" s="16"/>
      <c r="L65" s="35">
        <f>+D65-H65</f>
        <v>-246.13342000000011</v>
      </c>
      <c r="M65" s="16"/>
      <c r="N65" s="34">
        <f>IF(H65=0,0,L65/H65)</f>
        <v>3.3091493132253375E-2</v>
      </c>
      <c r="O65" s="25"/>
      <c r="P65" s="35">
        <f>SUM(P62:P64)</f>
        <v>-45733.289999999994</v>
      </c>
      <c r="Q65" s="13"/>
      <c r="R65" s="34">
        <f>IF(P$12=0,0,P65/P$12)</f>
        <v>0</v>
      </c>
      <c r="S65" s="13"/>
      <c r="T65" s="35">
        <f>SUM(T62:T64)</f>
        <v>-51379.282769999998</v>
      </c>
      <c r="U65" s="13"/>
      <c r="V65" s="34">
        <f>IF(T$12=0,0,T65/T$12)</f>
        <v>0</v>
      </c>
      <c r="W65" s="16"/>
      <c r="X65" s="35">
        <f>+P65-T65</f>
        <v>5645.9927700000044</v>
      </c>
      <c r="Y65" s="16"/>
      <c r="Z65" s="34">
        <f>IF(T65=0,0,X65/T65)</f>
        <v>-0.10988850886211007</v>
      </c>
    </row>
    <row r="66" spans="1:26" ht="15" thickTop="1" x14ac:dyDescent="0.3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3">
      <c r="A67" s="9"/>
      <c r="B67" s="61">
        <v>44575.842125659721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3">
      <c r="A68" s="9"/>
      <c r="B68" s="62" t="s">
        <v>56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3">
      <c r="A69" s="9"/>
      <c r="B69" s="53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3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","206", " - ", "Communications")</f>
        <v>Department 206 - Communications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8783.9900000000016</v>
      </c>
      <c r="E18" s="21"/>
      <c r="F18" s="32">
        <f t="shared" ref="F18:F28" si="0">IF(D$12=0,0,D18/D$12)</f>
        <v>0</v>
      </c>
      <c r="G18" s="21"/>
      <c r="H18" s="21">
        <f>SUM(OSRRefH22x_0)</f>
        <v>12236.75742769231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-3452.767427692308</v>
      </c>
      <c r="M18" s="4"/>
      <c r="N18" s="32">
        <f t="shared" ref="N18:N28" si="3">IF(H18=0,0,L18/H18)</f>
        <v>-0.28216359179258932</v>
      </c>
      <c r="O18" s="10"/>
      <c r="P18" s="21">
        <f>SUM(OSRRefP22x_0)</f>
        <v>54000.11</v>
      </c>
      <c r="Q18" s="21"/>
      <c r="R18" s="32">
        <f t="shared" ref="R18:R28" si="4">IF(P$12=0,0,P18/P$12)</f>
        <v>0</v>
      </c>
      <c r="S18" s="21"/>
      <c r="T18" s="21">
        <f>SUM(OSRRefT22x_0)</f>
        <v>80243.652879999994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-26243.542879999994</v>
      </c>
      <c r="Y18" s="4"/>
      <c r="Z18" s="32">
        <f t="shared" ref="Z18:Z28" si="7">IF(T18=0,0,X18/T18)</f>
        <v>-0.32704820802769013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1807.08</v>
      </c>
      <c r="E19" s="1"/>
      <c r="F19" s="5">
        <f t="shared" si="0"/>
        <v>0</v>
      </c>
      <c r="G19" s="1"/>
      <c r="H19" s="1">
        <f>SUM(OSRRefH22_0x_0)</f>
        <v>2192.0774276923098</v>
      </c>
      <c r="I19" s="1"/>
      <c r="J19" s="5">
        <f t="shared" si="1"/>
        <v>0</v>
      </c>
      <c r="K19" s="1"/>
      <c r="L19" s="1">
        <f t="shared" si="2"/>
        <v>-384.99742769230988</v>
      </c>
      <c r="M19" s="1"/>
      <c r="N19" s="5">
        <f t="shared" si="3"/>
        <v>-0.17563130883456637</v>
      </c>
      <c r="O19" s="14"/>
      <c r="P19" s="1">
        <f>SUM(OSRRefP22_0x_0)</f>
        <v>11631.69</v>
      </c>
      <c r="Q19" s="1"/>
      <c r="R19" s="5">
        <f t="shared" si="4"/>
        <v>0</v>
      </c>
      <c r="S19" s="1"/>
      <c r="T19" s="1">
        <f>SUM(OSRRefT22_0x_0)</f>
        <v>14797.73288</v>
      </c>
      <c r="U19" s="1"/>
      <c r="V19" s="5">
        <f t="shared" si="5"/>
        <v>0</v>
      </c>
      <c r="W19" s="1"/>
      <c r="X19" s="1">
        <f t="shared" si="6"/>
        <v>-3166.0428799999991</v>
      </c>
      <c r="Y19" s="1"/>
      <c r="Z19" s="5">
        <f t="shared" si="7"/>
        <v>-0.21395459058996064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>
        <v>371.86</v>
      </c>
      <c r="E20" s="2"/>
      <c r="F20" s="7">
        <f t="shared" si="0"/>
        <v>0</v>
      </c>
      <c r="G20" s="2"/>
      <c r="H20" s="6">
        <v>378.36432000000002</v>
      </c>
      <c r="I20" s="2"/>
      <c r="J20" s="7">
        <f t="shared" si="1"/>
        <v>0</v>
      </c>
      <c r="K20" s="2"/>
      <c r="L20" s="6">
        <f t="shared" si="2"/>
        <v>-6.504320000000007</v>
      </c>
      <c r="M20" s="2"/>
      <c r="N20" s="7">
        <f t="shared" si="3"/>
        <v>-1.7190627276906043E-2</v>
      </c>
      <c r="O20" s="11"/>
      <c r="P20" s="6">
        <v>2583.7600000000002</v>
      </c>
      <c r="Q20" s="2"/>
      <c r="R20" s="7">
        <f t="shared" si="4"/>
        <v>0</v>
      </c>
      <c r="S20" s="2"/>
      <c r="T20" s="6">
        <v>3096.0976799999999</v>
      </c>
      <c r="U20" s="2"/>
      <c r="V20" s="7">
        <f t="shared" si="5"/>
        <v>0</v>
      </c>
      <c r="W20" s="2"/>
      <c r="X20" s="6">
        <f t="shared" si="6"/>
        <v>-512.33767999999964</v>
      </c>
      <c r="Y20" s="2"/>
      <c r="Z20" s="7">
        <f t="shared" si="7"/>
        <v>-0.16547852585839593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90.98</v>
      </c>
      <c r="E21" s="2"/>
      <c r="F21" s="7">
        <f t="shared" si="0"/>
        <v>0</v>
      </c>
      <c r="G21" s="2"/>
      <c r="H21" s="6">
        <v>23.2624</v>
      </c>
      <c r="I21" s="2"/>
      <c r="J21" s="7">
        <f t="shared" si="1"/>
        <v>0</v>
      </c>
      <c r="K21" s="2"/>
      <c r="L21" s="6">
        <f t="shared" si="2"/>
        <v>67.717600000000004</v>
      </c>
      <c r="M21" s="2"/>
      <c r="N21" s="7">
        <f t="shared" si="3"/>
        <v>2.911032395625559</v>
      </c>
      <c r="O21" s="11"/>
      <c r="P21" s="6">
        <v>535.35</v>
      </c>
      <c r="Q21" s="2"/>
      <c r="R21" s="7">
        <f t="shared" si="4"/>
        <v>0</v>
      </c>
      <c r="S21" s="2"/>
      <c r="T21" s="6">
        <v>151.2056</v>
      </c>
      <c r="U21" s="2"/>
      <c r="V21" s="7">
        <f t="shared" si="5"/>
        <v>0</v>
      </c>
      <c r="W21" s="2"/>
      <c r="X21" s="6">
        <f t="shared" si="6"/>
        <v>384.14440000000002</v>
      </c>
      <c r="Y21" s="2"/>
      <c r="Z21" s="7">
        <f t="shared" si="7"/>
        <v>2.5405434719349018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1275.6923076923099</v>
      </c>
      <c r="I22" s="2"/>
      <c r="J22" s="7">
        <f t="shared" si="1"/>
        <v>0</v>
      </c>
      <c r="K22" s="2"/>
      <c r="L22" s="6">
        <f t="shared" si="2"/>
        <v>-574.82230769230989</v>
      </c>
      <c r="M22" s="2"/>
      <c r="N22" s="7">
        <f t="shared" si="3"/>
        <v>-0.45059635793536035</v>
      </c>
      <c r="O22" s="11"/>
      <c r="P22" s="6">
        <v>4216.47</v>
      </c>
      <c r="Q22" s="2"/>
      <c r="R22" s="7">
        <f t="shared" si="4"/>
        <v>0</v>
      </c>
      <c r="S22" s="2"/>
      <c r="T22" s="6">
        <v>8292</v>
      </c>
      <c r="U22" s="2"/>
      <c r="V22" s="7">
        <f t="shared" si="5"/>
        <v>0</v>
      </c>
      <c r="W22" s="2"/>
      <c r="X22" s="6">
        <f t="shared" si="6"/>
        <v>-4075.5299999999997</v>
      </c>
      <c r="Y22" s="2"/>
      <c r="Z22" s="7">
        <f t="shared" si="7"/>
        <v>-0.49150144717800287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18.34</v>
      </c>
      <c r="E23" s="2"/>
      <c r="F23" s="7">
        <f t="shared" si="0"/>
        <v>0</v>
      </c>
      <c r="G23" s="2"/>
      <c r="H23" s="6">
        <v>15.7584</v>
      </c>
      <c r="I23" s="2"/>
      <c r="J23" s="7">
        <f t="shared" si="1"/>
        <v>0</v>
      </c>
      <c r="K23" s="2"/>
      <c r="L23" s="6">
        <f t="shared" si="2"/>
        <v>2.5815999999999999</v>
      </c>
      <c r="M23" s="2"/>
      <c r="N23" s="7">
        <f t="shared" si="3"/>
        <v>0.16382373845060411</v>
      </c>
      <c r="O23" s="11"/>
      <c r="P23" s="6">
        <v>107.91</v>
      </c>
      <c r="Q23" s="2"/>
      <c r="R23" s="7">
        <f t="shared" si="4"/>
        <v>0</v>
      </c>
      <c r="S23" s="2"/>
      <c r="T23" s="6">
        <v>102.42959999999999</v>
      </c>
      <c r="U23" s="2"/>
      <c r="V23" s="7">
        <f t="shared" si="5"/>
        <v>0</v>
      </c>
      <c r="W23" s="2"/>
      <c r="X23" s="6">
        <f t="shared" si="6"/>
        <v>5.480400000000003</v>
      </c>
      <c r="Y23" s="2"/>
      <c r="Z23" s="7">
        <f t="shared" si="7"/>
        <v>5.3504065231144156E-2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6">
        <v>287.66000000000003</v>
      </c>
      <c r="E26" s="2"/>
      <c r="F26" s="7">
        <f t="shared" si="0"/>
        <v>0</v>
      </c>
      <c r="G26" s="2"/>
      <c r="H26" s="6">
        <v>148.32</v>
      </c>
      <c r="I26" s="2"/>
      <c r="J26" s="7">
        <f t="shared" si="1"/>
        <v>0</v>
      </c>
      <c r="K26" s="2"/>
      <c r="L26" s="6">
        <f t="shared" si="2"/>
        <v>139.34000000000003</v>
      </c>
      <c r="M26" s="2"/>
      <c r="N26" s="7">
        <f t="shared" si="3"/>
        <v>0.93945523193096037</v>
      </c>
      <c r="O26" s="11"/>
      <c r="P26" s="6">
        <v>1820.02</v>
      </c>
      <c r="Q26" s="2"/>
      <c r="R26" s="7">
        <f t="shared" si="4"/>
        <v>0</v>
      </c>
      <c r="S26" s="2"/>
      <c r="T26" s="6">
        <v>964.08</v>
      </c>
      <c r="U26" s="2"/>
      <c r="V26" s="7">
        <f t="shared" si="5"/>
        <v>0</v>
      </c>
      <c r="W26" s="2"/>
      <c r="X26" s="6">
        <f t="shared" si="6"/>
        <v>855.93999999999994</v>
      </c>
      <c r="Y26" s="2"/>
      <c r="Z26" s="7">
        <f t="shared" si="7"/>
        <v>0.88783088540370081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6">
        <v>230.26</v>
      </c>
      <c r="E27" s="2"/>
      <c r="F27" s="7">
        <f t="shared" si="0"/>
        <v>0</v>
      </c>
      <c r="G27" s="2"/>
      <c r="H27" s="6">
        <v>175.68</v>
      </c>
      <c r="I27" s="2"/>
      <c r="J27" s="7">
        <f t="shared" si="1"/>
        <v>0</v>
      </c>
      <c r="K27" s="2"/>
      <c r="L27" s="6">
        <f t="shared" si="2"/>
        <v>54.579999999999984</v>
      </c>
      <c r="M27" s="2"/>
      <c r="N27" s="7">
        <f t="shared" si="3"/>
        <v>0.31067850637522759</v>
      </c>
      <c r="O27" s="11"/>
      <c r="P27" s="6">
        <v>1456.82</v>
      </c>
      <c r="Q27" s="2"/>
      <c r="R27" s="7">
        <f t="shared" si="4"/>
        <v>0</v>
      </c>
      <c r="S27" s="2"/>
      <c r="T27" s="6">
        <v>1141.92</v>
      </c>
      <c r="U27" s="2"/>
      <c r="V27" s="7">
        <f t="shared" si="5"/>
        <v>0</v>
      </c>
      <c r="W27" s="2"/>
      <c r="X27" s="6">
        <f t="shared" si="6"/>
        <v>314.89999999999986</v>
      </c>
      <c r="Y27" s="2"/>
      <c r="Z27" s="7">
        <f t="shared" si="7"/>
        <v>0.27576362617346212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6">
        <v>107.11</v>
      </c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-67.89</v>
      </c>
      <c r="M28" s="2"/>
      <c r="N28" s="7">
        <f t="shared" si="3"/>
        <v>-0.38794285714285714</v>
      </c>
      <c r="O28" s="11"/>
      <c r="P28" s="6">
        <v>911.36</v>
      </c>
      <c r="Q28" s="2"/>
      <c r="R28" s="7">
        <f t="shared" si="4"/>
        <v>0</v>
      </c>
      <c r="S28" s="2"/>
      <c r="T28" s="6">
        <v>1050</v>
      </c>
      <c r="U28" s="2"/>
      <c r="V28" s="7">
        <f t="shared" si="5"/>
        <v>0</v>
      </c>
      <c r="W28" s="2"/>
      <c r="X28" s="6">
        <f t="shared" si="6"/>
        <v>-138.63999999999999</v>
      </c>
      <c r="Y28" s="2"/>
      <c r="Z28" s="7">
        <f t="shared" si="7"/>
        <v>-0.13203809523809523</v>
      </c>
    </row>
    <row r="29" spans="1:26" s="28" customFormat="1" outlineLevel="1" collapsed="1" x14ac:dyDescent="0.3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6934.1900000000005</v>
      </c>
      <c r="E29" s="1"/>
      <c r="F29" s="5">
        <f t="shared" ref="F29:F39" si="8">IF(D$12=0,0,D29/D$12)</f>
        <v>0</v>
      </c>
      <c r="G29" s="1"/>
      <c r="H29" s="1">
        <f>SUM(OSRRefH22_1x_0)</f>
        <v>7355.68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-421.48999999999978</v>
      </c>
      <c r="M29" s="1"/>
      <c r="N29" s="5">
        <f t="shared" ref="N29:N39" si="11">IF(H29=0,0,L29/H29)</f>
        <v>-5.7301296413112011E-2</v>
      </c>
      <c r="O29" s="14"/>
      <c r="P29" s="1">
        <f>SUM(OSRRefP22_1x_0)</f>
        <v>40912.979999999996</v>
      </c>
      <c r="Q29" s="1"/>
      <c r="R29" s="5">
        <f t="shared" ref="R29:R39" si="12">IF(P$12=0,0,P29/P$12)</f>
        <v>0</v>
      </c>
      <c r="S29" s="1"/>
      <c r="T29" s="1">
        <f>SUM(OSRRefT22_1x_0)</f>
        <v>47811.92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-6898.9400000000023</v>
      </c>
      <c r="Y29" s="1"/>
      <c r="Z29" s="5">
        <f t="shared" ref="Z29:Z39" si="15">IF(T29=0,0,X29/T29)</f>
        <v>-0.14429330593709691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6">
        <v>4724.62</v>
      </c>
      <c r="E33" s="2"/>
      <c r="F33" s="7">
        <f t="shared" si="8"/>
        <v>0</v>
      </c>
      <c r="G33" s="2"/>
      <c r="H33" s="6">
        <v>4795.68</v>
      </c>
      <c r="I33" s="2"/>
      <c r="J33" s="7">
        <f t="shared" si="9"/>
        <v>0</v>
      </c>
      <c r="K33" s="2"/>
      <c r="L33" s="6">
        <f t="shared" si="10"/>
        <v>-71.0600000000004</v>
      </c>
      <c r="M33" s="2"/>
      <c r="N33" s="7">
        <f t="shared" si="11"/>
        <v>-1.4817502418843708E-2</v>
      </c>
      <c r="O33" s="11"/>
      <c r="P33" s="6">
        <v>29437.78</v>
      </c>
      <c r="Q33" s="2"/>
      <c r="R33" s="7">
        <f t="shared" si="12"/>
        <v>0</v>
      </c>
      <c r="S33" s="2"/>
      <c r="T33" s="6">
        <v>31171.919999999998</v>
      </c>
      <c r="U33" s="2"/>
      <c r="V33" s="7">
        <f t="shared" si="13"/>
        <v>0</v>
      </c>
      <c r="W33" s="2"/>
      <c r="X33" s="6">
        <f t="shared" si="14"/>
        <v>-1734.1399999999994</v>
      </c>
      <c r="Y33" s="2"/>
      <c r="Z33" s="7">
        <f t="shared" si="15"/>
        <v>-5.5631478587138669E-2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0</v>
      </c>
      <c r="Q36" s="2"/>
      <c r="R36" s="7">
        <f t="shared" si="12"/>
        <v>0</v>
      </c>
      <c r="S36" s="2"/>
      <c r="T36" s="6">
        <v>8320</v>
      </c>
      <c r="U36" s="2"/>
      <c r="V36" s="7">
        <f t="shared" si="13"/>
        <v>0</v>
      </c>
      <c r="W36" s="2"/>
      <c r="X36" s="6">
        <f t="shared" si="14"/>
        <v>-8320</v>
      </c>
      <c r="Y36" s="2"/>
      <c r="Z36" s="7">
        <f t="shared" si="15"/>
        <v>-1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>
        <v>2209.5700000000002</v>
      </c>
      <c r="E37" s="2"/>
      <c r="F37" s="7">
        <f t="shared" si="8"/>
        <v>0</v>
      </c>
      <c r="G37" s="2"/>
      <c r="H37" s="6">
        <v>2560</v>
      </c>
      <c r="I37" s="2"/>
      <c r="J37" s="7">
        <f t="shared" si="9"/>
        <v>0</v>
      </c>
      <c r="K37" s="2"/>
      <c r="L37" s="6">
        <f t="shared" si="10"/>
        <v>-350.42999999999984</v>
      </c>
      <c r="M37" s="2"/>
      <c r="N37" s="7">
        <f t="shared" si="11"/>
        <v>-0.13688671874999994</v>
      </c>
      <c r="O37" s="11"/>
      <c r="P37" s="6">
        <v>11475.2</v>
      </c>
      <c r="Q37" s="2"/>
      <c r="R37" s="7">
        <f t="shared" si="12"/>
        <v>0</v>
      </c>
      <c r="S37" s="2"/>
      <c r="T37" s="6">
        <v>8320</v>
      </c>
      <c r="U37" s="2"/>
      <c r="V37" s="7">
        <f t="shared" si="13"/>
        <v>0</v>
      </c>
      <c r="W37" s="2"/>
      <c r="X37" s="6">
        <f t="shared" si="14"/>
        <v>3155.2000000000007</v>
      </c>
      <c r="Y37" s="2"/>
      <c r="Z37" s="7">
        <f t="shared" si="15"/>
        <v>0.37923076923076932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417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-417</v>
      </c>
      <c r="M40" s="1"/>
      <c r="N40" s="5">
        <f t="shared" ref="N40:N46" si="19">IF(H40=0,0,L40/H40)</f>
        <v>-1</v>
      </c>
      <c r="O40" s="14"/>
      <c r="P40" s="1">
        <f>SUM(OSRRefP22_2x_0)</f>
        <v>1092.8599999999999</v>
      </c>
      <c r="Q40" s="1"/>
      <c r="R40" s="5">
        <f t="shared" ref="R40:R46" si="20">IF(P$12=0,0,P40/P$12)</f>
        <v>0</v>
      </c>
      <c r="S40" s="1"/>
      <c r="T40" s="1">
        <f>SUM(OSRRefT22_2x_0)</f>
        <v>2502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-1409.14</v>
      </c>
      <c r="Y40" s="1"/>
      <c r="Z40" s="5">
        <f t="shared" ref="Z40:Z46" si="23">IF(T40=0,0,X40/T40)</f>
        <v>-0.56320543565147885</v>
      </c>
    </row>
    <row r="41" spans="1:26" s="24" customFormat="1" hidden="1" outlineLevel="2" x14ac:dyDescent="0.3">
      <c r="A41" s="29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417</v>
      </c>
      <c r="I41" s="2"/>
      <c r="J41" s="7">
        <f t="shared" si="17"/>
        <v>0</v>
      </c>
      <c r="K41" s="2"/>
      <c r="L41" s="6">
        <f t="shared" si="18"/>
        <v>-417</v>
      </c>
      <c r="M41" s="2"/>
      <c r="N41" s="7">
        <f t="shared" si="19"/>
        <v>-1</v>
      </c>
      <c r="O41" s="11"/>
      <c r="P41" s="6">
        <v>1092.8599999999999</v>
      </c>
      <c r="Q41" s="2"/>
      <c r="R41" s="7">
        <f t="shared" si="20"/>
        <v>0</v>
      </c>
      <c r="S41" s="2"/>
      <c r="T41" s="6">
        <v>2502</v>
      </c>
      <c r="U41" s="2"/>
      <c r="V41" s="7">
        <f t="shared" si="21"/>
        <v>0</v>
      </c>
      <c r="W41" s="2"/>
      <c r="X41" s="6">
        <f t="shared" si="22"/>
        <v>-1409.14</v>
      </c>
      <c r="Y41" s="2"/>
      <c r="Z41" s="7">
        <f t="shared" si="23"/>
        <v>-0.56320543565147885</v>
      </c>
    </row>
    <row r="42" spans="1:26" s="28" customFormat="1" outlineLevel="1" collapsed="1" x14ac:dyDescent="0.3">
      <c r="A42" s="27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-500</v>
      </c>
      <c r="Y42" s="1"/>
      <c r="Z42" s="5">
        <f t="shared" si="23"/>
        <v>-1</v>
      </c>
    </row>
    <row r="43" spans="1:26" s="24" customFormat="1" hidden="1" outlineLevel="2" x14ac:dyDescent="0.3">
      <c r="A43" s="29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500</v>
      </c>
      <c r="U43" s="2"/>
      <c r="V43" s="7">
        <f t="shared" si="21"/>
        <v>0</v>
      </c>
      <c r="W43" s="2"/>
      <c r="X43" s="6">
        <f t="shared" si="22"/>
        <v>-500</v>
      </c>
      <c r="Y43" s="2"/>
      <c r="Z43" s="7">
        <f t="shared" si="23"/>
        <v>-1</v>
      </c>
    </row>
    <row r="44" spans="1:26" s="28" customFormat="1" outlineLevel="1" collapsed="1" x14ac:dyDescent="0.3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1600</v>
      </c>
      <c r="I44" s="1"/>
      <c r="J44" s="5">
        <f t="shared" si="17"/>
        <v>0</v>
      </c>
      <c r="K44" s="1"/>
      <c r="L44" s="1">
        <f t="shared" si="18"/>
        <v>-1600</v>
      </c>
      <c r="M44" s="1"/>
      <c r="N44" s="5">
        <f t="shared" si="19"/>
        <v>-1</v>
      </c>
      <c r="O44" s="14"/>
      <c r="P44" s="1">
        <f>SUM(OSRRefP22_4x_0)</f>
        <v>63.36</v>
      </c>
      <c r="Q44" s="1"/>
      <c r="R44" s="5">
        <f t="shared" si="20"/>
        <v>0</v>
      </c>
      <c r="S44" s="1"/>
      <c r="T44" s="1">
        <f>SUM(OSRRefT22_4x_0)</f>
        <v>9600</v>
      </c>
      <c r="U44" s="1"/>
      <c r="V44" s="5">
        <f t="shared" si="21"/>
        <v>0</v>
      </c>
      <c r="W44" s="1"/>
      <c r="X44" s="1">
        <f t="shared" si="22"/>
        <v>-9536.64</v>
      </c>
      <c r="Y44" s="1"/>
      <c r="Z44" s="5">
        <f t="shared" si="23"/>
        <v>-0.99339999999999995</v>
      </c>
    </row>
    <row r="45" spans="1:26" s="24" customFormat="1" hidden="1" outlineLevel="2" x14ac:dyDescent="0.3">
      <c r="A45" s="29"/>
      <c r="B45" s="11" t="str">
        <f>CONCATENATE("          ", "6371", " - ", "COMPUTER SOFTWARE MAINTENANCE")</f>
        <v xml:space="preserve">          6371 - COMPUTER SOFTWARE MAINTENANCE</v>
      </c>
      <c r="C45" s="11"/>
      <c r="D45" s="6"/>
      <c r="E45" s="2"/>
      <c r="F45" s="7">
        <f t="shared" si="16"/>
        <v>0</v>
      </c>
      <c r="G45" s="2"/>
      <c r="H45" s="6">
        <v>1600</v>
      </c>
      <c r="I45" s="2"/>
      <c r="J45" s="7">
        <f t="shared" si="17"/>
        <v>0</v>
      </c>
      <c r="K45" s="2"/>
      <c r="L45" s="6">
        <f t="shared" si="18"/>
        <v>-1600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9600</v>
      </c>
      <c r="U45" s="2"/>
      <c r="V45" s="7">
        <f t="shared" si="21"/>
        <v>0</v>
      </c>
      <c r="W45" s="2"/>
      <c r="X45" s="6">
        <f t="shared" si="22"/>
        <v>-9600</v>
      </c>
      <c r="Y45" s="2"/>
      <c r="Z45" s="7">
        <f t="shared" si="23"/>
        <v>-1</v>
      </c>
    </row>
    <row r="46" spans="1:26" s="24" customFormat="1" hidden="1" outlineLevel="2" x14ac:dyDescent="0.3">
      <c r="A46" s="29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63.36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63.36</v>
      </c>
      <c r="Y46" s="2"/>
      <c r="Z46" s="7">
        <f t="shared" si="23"/>
        <v>0</v>
      </c>
    </row>
    <row r="47" spans="1:26" s="28" customFormat="1" outlineLevel="1" collapsed="1" x14ac:dyDescent="0.3">
      <c r="A47" s="27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SUM(OSRRefD22_5x_0)</f>
        <v>6.62</v>
      </c>
      <c r="E47" s="1"/>
      <c r="F47" s="5">
        <f t="shared" ref="F47:F51" si="24">IF(D$12=0,0,D47/D$12)</f>
        <v>0</v>
      </c>
      <c r="G47" s="1"/>
      <c r="H47" s="1">
        <f>SUM(OSRRefH22_5x_0)</f>
        <v>600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-593.38</v>
      </c>
      <c r="M47" s="1"/>
      <c r="N47" s="5">
        <f t="shared" ref="N47:N51" si="27">IF(H47=0,0,L47/H47)</f>
        <v>-0.98896666666666666</v>
      </c>
      <c r="O47" s="14"/>
      <c r="P47" s="1">
        <f>SUM(OSRRefP22_5x_0)</f>
        <v>11.12</v>
      </c>
      <c r="Q47" s="1"/>
      <c r="R47" s="5">
        <f t="shared" ref="R47:R51" si="28">IF(P$12=0,0,P47/P$12)</f>
        <v>0</v>
      </c>
      <c r="S47" s="1"/>
      <c r="T47" s="1">
        <f>SUM(OSRRefT22_5x_0)</f>
        <v>3600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-3588.88</v>
      </c>
      <c r="Y47" s="1"/>
      <c r="Z47" s="5">
        <f t="shared" ref="Z47:Z51" si="31">IF(T47=0,0,X47/T47)</f>
        <v>-0.99691111111111119</v>
      </c>
    </row>
    <row r="48" spans="1:26" s="24" customFormat="1" hidden="1" outlineLevel="2" x14ac:dyDescent="0.3">
      <c r="A48" s="29"/>
      <c r="B48" s="11" t="str">
        <f>CONCATENATE("          ", "6241", " - ", "OFFICE EXPENSE")</f>
        <v xml:space="preserve">          6241 - OFFICE EXPENSE</v>
      </c>
      <c r="C48" s="11"/>
      <c r="D48" s="6">
        <v>6.62</v>
      </c>
      <c r="E48" s="2"/>
      <c r="F48" s="7">
        <f t="shared" si="24"/>
        <v>0</v>
      </c>
      <c r="G48" s="2"/>
      <c r="H48" s="6">
        <v>600</v>
      </c>
      <c r="I48" s="2"/>
      <c r="J48" s="7">
        <f t="shared" si="25"/>
        <v>0</v>
      </c>
      <c r="K48" s="2"/>
      <c r="L48" s="6">
        <f t="shared" si="26"/>
        <v>-593.38</v>
      </c>
      <c r="M48" s="2"/>
      <c r="N48" s="7">
        <f t="shared" si="27"/>
        <v>-0.98896666666666666</v>
      </c>
      <c r="O48" s="11"/>
      <c r="P48" s="6">
        <v>11.12</v>
      </c>
      <c r="Q48" s="2"/>
      <c r="R48" s="7">
        <f t="shared" si="28"/>
        <v>0</v>
      </c>
      <c r="S48" s="2"/>
      <c r="T48" s="6">
        <v>3600</v>
      </c>
      <c r="U48" s="2"/>
      <c r="V48" s="7">
        <f t="shared" si="29"/>
        <v>0</v>
      </c>
      <c r="W48" s="2"/>
      <c r="X48" s="6">
        <f t="shared" si="30"/>
        <v>-3588.88</v>
      </c>
      <c r="Y48" s="2"/>
      <c r="Z48" s="7">
        <f t="shared" si="31"/>
        <v>-0.99691111111111119</v>
      </c>
    </row>
    <row r="49" spans="1:26" s="28" customFormat="1" outlineLevel="1" collapsed="1" x14ac:dyDescent="0.3">
      <c r="A49" s="27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36.1</v>
      </c>
      <c r="E49" s="1"/>
      <c r="F49" s="5">
        <f t="shared" si="24"/>
        <v>0</v>
      </c>
      <c r="G49" s="1"/>
      <c r="H49" s="1">
        <f>SUM(OSRRefH22_6x_0)</f>
        <v>72</v>
      </c>
      <c r="I49" s="1"/>
      <c r="J49" s="5">
        <f t="shared" si="25"/>
        <v>0</v>
      </c>
      <c r="K49" s="1"/>
      <c r="L49" s="1">
        <f t="shared" si="26"/>
        <v>-35.9</v>
      </c>
      <c r="M49" s="1"/>
      <c r="N49" s="5">
        <f t="shared" si="27"/>
        <v>-0.49861111111111112</v>
      </c>
      <c r="O49" s="14"/>
      <c r="P49" s="1">
        <f>SUM(OSRRefP22_6x_0)</f>
        <v>288.10000000000002</v>
      </c>
      <c r="Q49" s="1"/>
      <c r="R49" s="5">
        <f t="shared" si="28"/>
        <v>0</v>
      </c>
      <c r="S49" s="1"/>
      <c r="T49" s="1">
        <f>SUM(OSRRefT22_6x_0)</f>
        <v>432</v>
      </c>
      <c r="U49" s="1"/>
      <c r="V49" s="5">
        <f t="shared" si="29"/>
        <v>0</v>
      </c>
      <c r="W49" s="1"/>
      <c r="X49" s="1">
        <f t="shared" si="30"/>
        <v>-143.89999999999998</v>
      </c>
      <c r="Y49" s="1"/>
      <c r="Z49" s="5">
        <f t="shared" si="31"/>
        <v>-0.33310185185185182</v>
      </c>
    </row>
    <row r="50" spans="1:26" s="24" customFormat="1" hidden="1" outlineLevel="2" x14ac:dyDescent="0.3">
      <c r="A50" s="29"/>
      <c r="B50" s="11" t="str">
        <f>CONCATENATE("          ", "6303", " - ", "DATA PHONE LINES")</f>
        <v xml:space="preserve">          6303 - DATA PHONE LINES</v>
      </c>
      <c r="C50" s="11"/>
      <c r="D50" s="6"/>
      <c r="E50" s="2"/>
      <c r="F50" s="7">
        <f t="shared" si="24"/>
        <v>0</v>
      </c>
      <c r="G50" s="2"/>
      <c r="H50" s="6">
        <v>36</v>
      </c>
      <c r="I50" s="2"/>
      <c r="J50" s="7">
        <f t="shared" si="25"/>
        <v>0</v>
      </c>
      <c r="K50" s="2"/>
      <c r="L50" s="6">
        <f t="shared" si="26"/>
        <v>-36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216</v>
      </c>
      <c r="U50" s="2"/>
      <c r="V50" s="7">
        <f t="shared" si="29"/>
        <v>0</v>
      </c>
      <c r="W50" s="2"/>
      <c r="X50" s="6">
        <f t="shared" si="30"/>
        <v>-216</v>
      </c>
      <c r="Y50" s="2"/>
      <c r="Z50" s="7">
        <f t="shared" si="31"/>
        <v>-1</v>
      </c>
    </row>
    <row r="51" spans="1:26" s="24" customFormat="1" hidden="1" outlineLevel="2" x14ac:dyDescent="0.3">
      <c r="A51" s="29"/>
      <c r="B51" s="11" t="str">
        <f>CONCATENATE("          ", "6309", " - ", "TELEPHONE")</f>
        <v xml:space="preserve">          6309 - TELEPHONE</v>
      </c>
      <c r="C51" s="11"/>
      <c r="D51" s="6">
        <v>36.1</v>
      </c>
      <c r="E51" s="2"/>
      <c r="F51" s="7">
        <f t="shared" si="24"/>
        <v>0</v>
      </c>
      <c r="G51" s="2"/>
      <c r="H51" s="6">
        <v>36</v>
      </c>
      <c r="I51" s="2"/>
      <c r="J51" s="7">
        <f t="shared" si="25"/>
        <v>0</v>
      </c>
      <c r="K51" s="2"/>
      <c r="L51" s="6">
        <f t="shared" si="26"/>
        <v>0.10000000000000142</v>
      </c>
      <c r="M51" s="2"/>
      <c r="N51" s="7">
        <f t="shared" si="27"/>
        <v>2.7777777777778173E-3</v>
      </c>
      <c r="O51" s="11"/>
      <c r="P51" s="6">
        <v>288.10000000000002</v>
      </c>
      <c r="Q51" s="2"/>
      <c r="R51" s="7">
        <f t="shared" si="28"/>
        <v>0</v>
      </c>
      <c r="S51" s="2"/>
      <c r="T51" s="6">
        <v>216</v>
      </c>
      <c r="U51" s="2"/>
      <c r="V51" s="7">
        <f t="shared" si="29"/>
        <v>0</v>
      </c>
      <c r="W51" s="2"/>
      <c r="X51" s="6">
        <f t="shared" si="30"/>
        <v>72.100000000000023</v>
      </c>
      <c r="Y51" s="2"/>
      <c r="Z51" s="7">
        <f t="shared" si="31"/>
        <v>0.33379629629629642</v>
      </c>
    </row>
    <row r="52" spans="1:26" s="28" customFormat="1" outlineLevel="1" collapsed="1" x14ac:dyDescent="0.3">
      <c r="A52" s="27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0</v>
      </c>
      <c r="E52" s="1"/>
      <c r="F52" s="5">
        <f t="shared" ref="F52:F53" si="32">IF(D$12=0,0,D52/D$12)</f>
        <v>0</v>
      </c>
      <c r="G52" s="1"/>
      <c r="H52" s="1">
        <f>SUM(OSRRefH22_7x_0)</f>
        <v>0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0</v>
      </c>
      <c r="M52" s="1"/>
      <c r="N52" s="5">
        <f t="shared" ref="N52:N53" si="35">IF(H52=0,0,L52/H52)</f>
        <v>0</v>
      </c>
      <c r="O52" s="14"/>
      <c r="P52" s="1">
        <f>SUM(OSRRefP22_7x_0)</f>
        <v>0</v>
      </c>
      <c r="Q52" s="1"/>
      <c r="R52" s="5">
        <f t="shared" ref="R52:R53" si="36">IF(P$12=0,0,P52/P$12)</f>
        <v>0</v>
      </c>
      <c r="S52" s="1"/>
      <c r="T52" s="1">
        <f>SUM(OSRRefT22_7x_0)</f>
        <v>1000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-1000</v>
      </c>
      <c r="Y52" s="1"/>
      <c r="Z52" s="5">
        <f t="shared" ref="Z52:Z53" si="39">IF(T52=0,0,X52/T52)</f>
        <v>-1</v>
      </c>
    </row>
    <row r="53" spans="1:26" s="24" customFormat="1" hidden="1" outlineLevel="2" x14ac:dyDescent="0.3">
      <c r="A53" s="29"/>
      <c r="B53" s="11" t="str">
        <f>CONCATENATE("          ", "6376", " - ", "TRAINING")</f>
        <v xml:space="preserve">          6376 - TRAINING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/>
      <c r="Q53" s="2"/>
      <c r="R53" s="7">
        <f t="shared" si="36"/>
        <v>0</v>
      </c>
      <c r="S53" s="2"/>
      <c r="T53" s="6">
        <v>1000</v>
      </c>
      <c r="U53" s="2"/>
      <c r="V53" s="7">
        <f t="shared" si="37"/>
        <v>0</v>
      </c>
      <c r="W53" s="2"/>
      <c r="X53" s="6">
        <f t="shared" si="38"/>
        <v>-1000</v>
      </c>
      <c r="Y53" s="2"/>
      <c r="Z53" s="7">
        <f t="shared" si="39"/>
        <v>-1</v>
      </c>
    </row>
    <row r="54" spans="1:26" s="55" customFormat="1" x14ac:dyDescent="0.3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3">
      <c r="A55" s="10"/>
      <c r="B55" s="25" t="s">
        <v>293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6" t="s">
        <v>277</v>
      </c>
      <c r="C57" s="26"/>
      <c r="D57" s="20">
        <f>+D16-D18+D55</f>
        <v>-8783.9900000000016</v>
      </c>
      <c r="E57" s="13"/>
      <c r="F57" s="22">
        <f>IF(D$12=0,0,D57/D$12)</f>
        <v>0</v>
      </c>
      <c r="G57" s="13"/>
      <c r="H57" s="20">
        <f>+H16-H18+H55</f>
        <v>-12236.75742769231</v>
      </c>
      <c r="I57" s="13"/>
      <c r="J57" s="22">
        <f>IF(H$12=0,0,H57/H$12)</f>
        <v>0</v>
      </c>
      <c r="K57" s="16"/>
      <c r="L57" s="20">
        <f>+D57-H57</f>
        <v>3452.767427692308</v>
      </c>
      <c r="M57" s="16"/>
      <c r="N57" s="22">
        <f>IF(H57=0,0,L57/H57)</f>
        <v>-0.28216359179258932</v>
      </c>
      <c r="O57" s="25"/>
      <c r="P57" s="20">
        <f>+P16-P18+P55</f>
        <v>-54000.11</v>
      </c>
      <c r="Q57" s="13"/>
      <c r="R57" s="22">
        <f>IF(P$12=0,0,P57/P$12)</f>
        <v>0</v>
      </c>
      <c r="S57" s="13"/>
      <c r="T57" s="20">
        <f>+T16-T18+T55</f>
        <v>-80243.652879999994</v>
      </c>
      <c r="U57" s="13"/>
      <c r="V57" s="22">
        <f>IF(T$12=0,0,T57/T$12)</f>
        <v>0</v>
      </c>
      <c r="W57" s="16"/>
      <c r="X57" s="20">
        <f>+P57-T57</f>
        <v>26243.542879999994</v>
      </c>
      <c r="Y57" s="16"/>
      <c r="Z57" s="22">
        <f>IF(T57=0,0,X57/T57)</f>
        <v>-0.32704820802769013</v>
      </c>
    </row>
    <row r="58" spans="1:26" x14ac:dyDescent="0.3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3">
      <c r="A59" s="52"/>
      <c r="B59" s="10" t="s">
        <v>128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3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" thickBot="1" x14ac:dyDescent="0.35">
      <c r="A61" s="10"/>
      <c r="B61" s="26" t="s">
        <v>126</v>
      </c>
      <c r="C61" s="26"/>
      <c r="D61" s="31">
        <f>+D57-D59</f>
        <v>-8783.9900000000016</v>
      </c>
      <c r="E61" s="13"/>
      <c r="F61" s="30">
        <f>IF(D$12=0,0,D61/D$12)</f>
        <v>0</v>
      </c>
      <c r="G61" s="13"/>
      <c r="H61" s="31">
        <f>+H57-H59</f>
        <v>-12236.75742769231</v>
      </c>
      <c r="I61" s="13"/>
      <c r="J61" s="30">
        <f>IF(H$12=0,0,H61/H$12)</f>
        <v>0</v>
      </c>
      <c r="K61" s="16"/>
      <c r="L61" s="31">
        <f>D61-H61</f>
        <v>3452.767427692308</v>
      </c>
      <c r="M61" s="16"/>
      <c r="N61" s="30">
        <f>IF(H61=0,0,L61/H61)</f>
        <v>-0.28216359179258932</v>
      </c>
      <c r="O61" s="25"/>
      <c r="P61" s="31">
        <f>+P57-P59</f>
        <v>-54000.11</v>
      </c>
      <c r="Q61" s="13"/>
      <c r="R61" s="30">
        <f>IF(P$12=0,0,P61/P$12)</f>
        <v>0</v>
      </c>
      <c r="S61" s="13"/>
      <c r="T61" s="31">
        <f>+T57-T59</f>
        <v>-80243.652879999994</v>
      </c>
      <c r="U61" s="13"/>
      <c r="V61" s="30">
        <f>IF(T$12=0,0,T61/T$12)</f>
        <v>0</v>
      </c>
      <c r="W61" s="16"/>
      <c r="X61" s="31">
        <f>P61-T61</f>
        <v>26243.542879999994</v>
      </c>
      <c r="Y61" s="16"/>
      <c r="Z61" s="30">
        <f>IF(T61=0,0,X61/T61)</f>
        <v>-0.32704820802769013</v>
      </c>
    </row>
    <row r="62" spans="1:26" ht="15" thickTop="1" x14ac:dyDescent="0.3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3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" thickBot="1" x14ac:dyDescent="0.35">
      <c r="A64" s="10"/>
      <c r="B64" s="26" t="s">
        <v>294</v>
      </c>
      <c r="C64" s="26"/>
      <c r="D64" s="35">
        <f>SUM(D61:D63)</f>
        <v>-8783.9900000000016</v>
      </c>
      <c r="E64" s="13"/>
      <c r="F64" s="34">
        <f>IF(D$12=0,0,D64/D$12)</f>
        <v>0</v>
      </c>
      <c r="G64" s="13"/>
      <c r="H64" s="35">
        <f>SUM(H61:H63)</f>
        <v>-12236.75742769231</v>
      </c>
      <c r="I64" s="13"/>
      <c r="J64" s="34">
        <f>IF(H$12=0,0,H64/H$12)</f>
        <v>0</v>
      </c>
      <c r="K64" s="16"/>
      <c r="L64" s="35">
        <f>+D64-H64</f>
        <v>3452.767427692308</v>
      </c>
      <c r="M64" s="16"/>
      <c r="N64" s="34">
        <f>IF(H64=0,0,L64/H64)</f>
        <v>-0.28216359179258932</v>
      </c>
      <c r="O64" s="25"/>
      <c r="P64" s="35">
        <f>SUM(P61:P63)</f>
        <v>-54000.11</v>
      </c>
      <c r="Q64" s="13"/>
      <c r="R64" s="34">
        <f>IF(P$12=0,0,P64/P$12)</f>
        <v>0</v>
      </c>
      <c r="S64" s="13"/>
      <c r="T64" s="35">
        <f>SUM(T61:T63)</f>
        <v>-80243.652879999994</v>
      </c>
      <c r="U64" s="13"/>
      <c r="V64" s="34">
        <f>IF(T$12=0,0,T64/T$12)</f>
        <v>0</v>
      </c>
      <c r="W64" s="16"/>
      <c r="X64" s="35">
        <f>+P64-T64</f>
        <v>26243.542879999994</v>
      </c>
      <c r="Y64" s="16"/>
      <c r="Z64" s="34">
        <f>IF(T64=0,0,X64/T64)</f>
        <v>-0.32704820802769013</v>
      </c>
    </row>
    <row r="65" spans="1:24" ht="15" thickTop="1" x14ac:dyDescent="0.3">
      <c r="A65" s="9"/>
      <c r="C65" s="9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3">
      <c r="A66" s="9"/>
      <c r="B66" s="61">
        <v>44575.842125659721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3">
      <c r="A67" s="9"/>
      <c r="B67" s="62" t="s">
        <v>56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3">
      <c r="A68" s="9"/>
      <c r="B68" s="53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4" x14ac:dyDescent="0.3"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17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107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510701.06000000006</v>
      </c>
      <c r="E12" s="4"/>
      <c r="F12" s="12"/>
      <c r="G12" s="4"/>
      <c r="H12" s="4">
        <f>SUM(OSRRefH13x_0)</f>
        <v>437137</v>
      </c>
      <c r="I12" s="4"/>
      <c r="J12" s="12"/>
      <c r="K12" s="4"/>
      <c r="L12" s="4">
        <f t="shared" ref="L12:L21" si="0">+D12-H12</f>
        <v>73564.060000000056</v>
      </c>
      <c r="M12" s="4"/>
      <c r="N12" s="12">
        <f t="shared" ref="N12:N21" si="1">IF(H12=0,0,L12/H12)</f>
        <v>0.16828605219873874</v>
      </c>
      <c r="O12" s="10"/>
      <c r="P12" s="4">
        <f>SUM(OSRRefP13x_0)</f>
        <v>3737537.89</v>
      </c>
      <c r="Q12" s="4"/>
      <c r="R12" s="12"/>
      <c r="S12" s="4"/>
      <c r="T12" s="4">
        <f>SUM(OSRRefT13x_0)</f>
        <v>5107249</v>
      </c>
      <c r="U12" s="4"/>
      <c r="V12" s="12"/>
      <c r="W12" s="4"/>
      <c r="X12" s="4">
        <f t="shared" ref="X12:X21" si="2">+P12-T12</f>
        <v>-1369711.1099999999</v>
      </c>
      <c r="Y12" s="4"/>
      <c r="Z12" s="12">
        <f t="shared" ref="Z12:Z21" si="3">IF(T12=0,0,X12/T12)</f>
        <v>-0.26818960853484919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--482781.22</f>
        <v>482781.22</v>
      </c>
      <c r="E13" s="2"/>
      <c r="F13" s="19"/>
      <c r="G13" s="2"/>
      <c r="H13" s="2">
        <v>395890</v>
      </c>
      <c r="I13" s="2"/>
      <c r="J13" s="19"/>
      <c r="K13" s="2"/>
      <c r="L13" s="2">
        <f t="shared" si="0"/>
        <v>86891.219999999972</v>
      </c>
      <c r="M13" s="2"/>
      <c r="N13" s="19">
        <f t="shared" si="1"/>
        <v>0.219483240294021</v>
      </c>
      <c r="O13" s="11"/>
      <c r="P13" s="2">
        <f>--3125506.36</f>
        <v>3125506.36</v>
      </c>
      <c r="Q13" s="2"/>
      <c r="R13" s="19"/>
      <c r="S13" s="2"/>
      <c r="T13" s="2">
        <v>4827136</v>
      </c>
      <c r="U13" s="2"/>
      <c r="V13" s="19"/>
      <c r="W13" s="2"/>
      <c r="X13" s="2">
        <f t="shared" si="2"/>
        <v>-1701629.6400000001</v>
      </c>
      <c r="Y13" s="2"/>
      <c r="Z13" s="19">
        <f t="shared" si="3"/>
        <v>-0.35251329981173102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--70.75</f>
        <v>70.75</v>
      </c>
      <c r="E14" s="2"/>
      <c r="F14" s="19"/>
      <c r="G14" s="2"/>
      <c r="H14" s="2"/>
      <c r="I14" s="2"/>
      <c r="J14" s="19"/>
      <c r="K14" s="2"/>
      <c r="L14" s="2">
        <f t="shared" si="0"/>
        <v>70.75</v>
      </c>
      <c r="M14" s="2"/>
      <c r="N14" s="19">
        <f t="shared" si="1"/>
        <v>0</v>
      </c>
      <c r="O14" s="11"/>
      <c r="P14" s="2">
        <f>--698.72</f>
        <v>698.72</v>
      </c>
      <c r="Q14" s="2"/>
      <c r="R14" s="19"/>
      <c r="S14" s="2"/>
      <c r="T14" s="2"/>
      <c r="U14" s="2"/>
      <c r="V14" s="19"/>
      <c r="W14" s="2"/>
      <c r="X14" s="2">
        <f t="shared" si="2"/>
        <v>698.72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--93325.28</f>
        <v>93325.28</v>
      </c>
      <c r="E15" s="2"/>
      <c r="F15" s="19"/>
      <c r="G15" s="2"/>
      <c r="H15" s="2">
        <v>41247</v>
      </c>
      <c r="I15" s="2"/>
      <c r="J15" s="19"/>
      <c r="K15" s="2"/>
      <c r="L15" s="2">
        <f t="shared" si="0"/>
        <v>52078.28</v>
      </c>
      <c r="M15" s="2"/>
      <c r="N15" s="19">
        <f t="shared" si="1"/>
        <v>1.2625955827090454</v>
      </c>
      <c r="O15" s="11"/>
      <c r="P15" s="2">
        <f>--789937.07</f>
        <v>789937.07</v>
      </c>
      <c r="Q15" s="2"/>
      <c r="R15" s="19"/>
      <c r="S15" s="2"/>
      <c r="T15" s="2">
        <v>280113</v>
      </c>
      <c r="U15" s="2"/>
      <c r="V15" s="19"/>
      <c r="W15" s="2"/>
      <c r="X15" s="2">
        <f t="shared" si="2"/>
        <v>509824.06999999995</v>
      </c>
      <c r="Y15" s="2"/>
      <c r="Z15" s="19">
        <f t="shared" si="3"/>
        <v>1.8200657234758828</v>
      </c>
    </row>
    <row r="16" spans="1:26" s="24" customFormat="1" hidden="1" outlineLevel="1" x14ac:dyDescent="0.3">
      <c r="A16" s="44"/>
      <c r="B16" s="11" t="str">
        <f>CONCATENATE("          ", "4141", " - ", "NON-TAXABLE SALES-LOGO GIFTS")</f>
        <v xml:space="preserve">          4141 - NON-TAXABLE SALES-LOGO GIFTS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ref="P16:P18" si="5">0</f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"4146", " - ", "NON-TAXABLE SALES-COIN OP MACH")</f>
        <v xml:space="preserve">          4146 - NON-TAXABLE SALES-COIN OP MACH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"4200", " - ", "TAXABLE RETURNS")</f>
        <v xml:space="preserve">          4200 - TAXABLE RETURNS</v>
      </c>
      <c r="C19" s="11"/>
      <c r="D19" s="2">
        <f>-14880.61</f>
        <v>-14880.61</v>
      </c>
      <c r="E19" s="2"/>
      <c r="F19" s="19"/>
      <c r="G19" s="2"/>
      <c r="H19" s="2"/>
      <c r="I19" s="2"/>
      <c r="J19" s="19"/>
      <c r="K19" s="2"/>
      <c r="L19" s="2">
        <f t="shared" si="0"/>
        <v>-14880.61</v>
      </c>
      <c r="M19" s="2"/>
      <c r="N19" s="19">
        <f t="shared" si="1"/>
        <v>0</v>
      </c>
      <c r="O19" s="11"/>
      <c r="P19" s="2">
        <f>-87418.81</f>
        <v>-87418.81</v>
      </c>
      <c r="Q19" s="2"/>
      <c r="R19" s="19"/>
      <c r="S19" s="2"/>
      <c r="T19" s="2"/>
      <c r="U19" s="2"/>
      <c r="V19" s="19"/>
      <c r="W19" s="2"/>
      <c r="X19" s="2">
        <f t="shared" si="2"/>
        <v>-87418.81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"4300", " - ", "NON-TAX RETURNS")</f>
        <v xml:space="preserve">          4300 - NON-TAX RETURNS</v>
      </c>
      <c r="C20" s="11"/>
      <c r="D20" s="2">
        <f>-678.95</f>
        <v>-678.95</v>
      </c>
      <c r="E20" s="2"/>
      <c r="F20" s="19"/>
      <c r="G20" s="2"/>
      <c r="H20" s="2"/>
      <c r="I20" s="2"/>
      <c r="J20" s="19"/>
      <c r="K20" s="2"/>
      <c r="L20" s="2">
        <f t="shared" si="0"/>
        <v>-678.95</v>
      </c>
      <c r="M20" s="2"/>
      <c r="N20" s="19">
        <f t="shared" si="1"/>
        <v>0</v>
      </c>
      <c r="O20" s="11"/>
      <c r="P20" s="2">
        <f>-27179.34</f>
        <v>-27179.34</v>
      </c>
      <c r="Q20" s="2"/>
      <c r="R20" s="19"/>
      <c r="S20" s="2"/>
      <c r="T20" s="2"/>
      <c r="U20" s="2"/>
      <c r="V20" s="19"/>
      <c r="W20" s="2"/>
      <c r="X20" s="2">
        <f t="shared" si="2"/>
        <v>-27179.34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"4500", " - ", "SALES DISCOUNT")</f>
        <v xml:space="preserve">          4500 - SALES DISCOUNT</v>
      </c>
      <c r="C21" s="11"/>
      <c r="D21" s="2">
        <f>-49916.63</f>
        <v>-49916.63</v>
      </c>
      <c r="E21" s="2"/>
      <c r="F21" s="19"/>
      <c r="G21" s="2"/>
      <c r="H21" s="2"/>
      <c r="I21" s="2"/>
      <c r="J21" s="19"/>
      <c r="K21" s="2"/>
      <c r="L21" s="2">
        <f t="shared" si="0"/>
        <v>-49916.63</v>
      </c>
      <c r="M21" s="2"/>
      <c r="N21" s="19">
        <f t="shared" si="1"/>
        <v>0</v>
      </c>
      <c r="O21" s="11"/>
      <c r="P21" s="2">
        <f>-64006.11</f>
        <v>-64006.11</v>
      </c>
      <c r="Q21" s="2"/>
      <c r="R21" s="19"/>
      <c r="S21" s="2"/>
      <c r="T21" s="2"/>
      <c r="U21" s="2"/>
      <c r="V21" s="19"/>
      <c r="W21" s="2"/>
      <c r="X21" s="2">
        <f t="shared" si="2"/>
        <v>-64006.11</v>
      </c>
      <c r="Y21" s="2"/>
      <c r="Z21" s="19">
        <f t="shared" si="3"/>
        <v>0</v>
      </c>
    </row>
    <row r="22" spans="1:26" x14ac:dyDescent="0.3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3">
      <c r="A23" s="10"/>
      <c r="B23" s="25" t="s">
        <v>257</v>
      </c>
      <c r="C23" s="10"/>
      <c r="D23" s="4">
        <f>SUM(OSRRefD16x_0)</f>
        <v>265819.62999999995</v>
      </c>
      <c r="E23" s="4"/>
      <c r="F23" s="12">
        <f t="shared" ref="F23:F52" si="6">IF(D$12=0,0,D23/D$12)</f>
        <v>0.52049946792747981</v>
      </c>
      <c r="G23" s="4"/>
      <c r="H23" s="4">
        <f>SUM(OSRRefH16x_0)</f>
        <v>224294</v>
      </c>
      <c r="I23" s="4"/>
      <c r="J23" s="12">
        <f t="shared" ref="J23:J52" si="7">IF(H$12=0,0,H23/H$12)</f>
        <v>0.51309772451199509</v>
      </c>
      <c r="K23" s="4"/>
      <c r="L23" s="4">
        <f t="shared" ref="L23:L52" si="8">+D23-H23</f>
        <v>41525.629999999946</v>
      </c>
      <c r="M23" s="4"/>
      <c r="N23" s="12">
        <f t="shared" ref="N23:N52" si="9">IF(H23=0,0,L23/H23)</f>
        <v>0.18513928147877315</v>
      </c>
      <c r="O23" s="10"/>
      <c r="P23" s="4">
        <f>SUM(OSRRefP16x_0)</f>
        <v>2258379.6399999997</v>
      </c>
      <c r="Q23" s="4"/>
      <c r="R23" s="12">
        <f t="shared" ref="R23:R52" si="10">IF(P$12=0,0,P23/P$12)</f>
        <v>0.60424260742410818</v>
      </c>
      <c r="S23" s="4"/>
      <c r="T23" s="4">
        <f>SUM(OSRRefT16x_0)</f>
        <v>3170837</v>
      </c>
      <c r="U23" s="4"/>
      <c r="V23" s="12">
        <f t="shared" ref="V23:V52" si="11">IF(T$12=0,0,T23/T$12)</f>
        <v>0.62085028554511446</v>
      </c>
      <c r="W23" s="4"/>
      <c r="X23" s="4">
        <f t="shared" ref="X23:X52" si="12">+P23-T23</f>
        <v>-912457.36000000034</v>
      </c>
      <c r="Y23" s="4"/>
      <c r="Z23" s="12">
        <f t="shared" ref="Z23:Z52" si="13">IF(T23=0,0,X23/T23)</f>
        <v>-0.2877654575116918</v>
      </c>
    </row>
    <row r="24" spans="1:26" s="24" customFormat="1" hidden="1" outlineLevel="1" x14ac:dyDescent="0.3">
      <c r="A24" s="44"/>
      <c r="B24" s="11" t="str">
        <f>CONCATENATE("          ", "5000", " - ", "PURCHASES @ COST")</f>
        <v xml:space="preserve">          5000 - PURCHASES @ COST</v>
      </c>
      <c r="C24" s="11"/>
      <c r="D24" s="2">
        <v>283717.63</v>
      </c>
      <c r="E24" s="2"/>
      <c r="F24" s="19">
        <f t="shared" si="6"/>
        <v>0.55554541045988814</v>
      </c>
      <c r="G24" s="2"/>
      <c r="H24" s="2">
        <v>224294</v>
      </c>
      <c r="I24" s="2"/>
      <c r="J24" s="19">
        <f t="shared" si="7"/>
        <v>0.51309772451199509</v>
      </c>
      <c r="K24" s="2"/>
      <c r="L24" s="2">
        <f t="shared" si="8"/>
        <v>59423.630000000005</v>
      </c>
      <c r="M24" s="2"/>
      <c r="N24" s="19">
        <f t="shared" si="9"/>
        <v>0.26493633356219964</v>
      </c>
      <c r="O24" s="11"/>
      <c r="P24" s="2">
        <v>2531924.41</v>
      </c>
      <c r="Q24" s="2"/>
      <c r="R24" s="19">
        <f t="shared" si="10"/>
        <v>0.67743110157473219</v>
      </c>
      <c r="S24" s="2"/>
      <c r="T24" s="2">
        <v>3170837</v>
      </c>
      <c r="U24" s="2"/>
      <c r="V24" s="19">
        <f t="shared" si="11"/>
        <v>0.62085028554511446</v>
      </c>
      <c r="W24" s="2"/>
      <c r="X24" s="2">
        <f t="shared" si="12"/>
        <v>-638912.58999999985</v>
      </c>
      <c r="Y24" s="2"/>
      <c r="Z24" s="19">
        <f t="shared" si="13"/>
        <v>-0.20149651022742571</v>
      </c>
    </row>
    <row r="25" spans="1:26" s="24" customFormat="1" hidden="1" outlineLevel="1" x14ac:dyDescent="0.3">
      <c r="A25" s="44"/>
      <c r="B25" s="11" t="str">
        <f>CONCATENATE("          ", "5001", " - ", "PURCHASES @ COST-NEW TEXT")</f>
        <v xml:space="preserve">          5001 - PURCHASES @ COST-NEW TEXT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0</v>
      </c>
      <c r="Q25" s="2"/>
      <c r="R25" s="19">
        <f t="shared" si="10"/>
        <v>0</v>
      </c>
      <c r="S25" s="2"/>
      <c r="T25" s="2"/>
      <c r="U25" s="2"/>
      <c r="V25" s="19">
        <f t="shared" si="11"/>
        <v>0</v>
      </c>
      <c r="W25" s="2"/>
      <c r="X25" s="2">
        <f t="shared" si="12"/>
        <v>0</v>
      </c>
      <c r="Y25" s="2"/>
      <c r="Z25" s="19">
        <f t="shared" si="13"/>
        <v>0</v>
      </c>
    </row>
    <row r="26" spans="1:26" s="24" customFormat="1" hidden="1" outlineLevel="1" x14ac:dyDescent="0.3">
      <c r="A26" s="44"/>
      <c r="B26" s="11" t="str">
        <f>CONCATENATE("          ", "5002", " - ", "PURCHASES @ COST-USED TEXT")</f>
        <v xml:space="preserve">          5002 - PURCHASES @ COST-USED TEXT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>
        <v>0</v>
      </c>
      <c r="Q26" s="2"/>
      <c r="R26" s="19">
        <f t="shared" si="10"/>
        <v>0</v>
      </c>
      <c r="S26" s="2"/>
      <c r="T26" s="2"/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"5004", " - ", "PURCHASES @ COST-DIGITAL TEXT")</f>
        <v xml:space="preserve">          5004 - PURCHASES @ COST-DIGITAL TEXT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"5026", " - ", "PURCHASES @ COST-WRITING INSTR")</f>
        <v xml:space="preserve">          5026 - PURCHASES @ COST-WRITING INSTR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"5027", " - ", "PURCHASES @ COST-SCHOOL SUPPLI")</f>
        <v xml:space="preserve">          5027 - PURCHASES @ COST-SCHOOL SUPPLI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"5028", " - ", "PURCHASES @ COST-ART/TECH")</f>
        <v xml:space="preserve">          5028 - PURCHASES @ COST-ART/TECH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"5031", " - ", "PURCHASES @ COST-FOOD")</f>
        <v xml:space="preserve">          5031 - PURCHASES @ COST-FOOD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"5040", " - ", "PURCHASES @ COST-LOGO CLOTHING")</f>
        <v xml:space="preserve">          5040 - PURCHASES @ COST-LOGO CLOTHING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"5041", " - ", "PURCHASES @ COST-LOGO GIFTS")</f>
        <v xml:space="preserve">          5041 - PURCHASES @ COST-LOGO GIFTS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"5042", " - ", "PURCHASES @ COST-EVERYDAY GIFT")</f>
        <v xml:space="preserve">          5042 - PURCHASES @ COST-EVERYDAY GIFT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"5043", " - ", "PURCHASES @ COST-CARDS")</f>
        <v xml:space="preserve">          5043 - PURCHASES @ COST-CARDS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"5044", " - ", "PURCHASES @ COST-ACCESSORIES")</f>
        <v xml:space="preserve">          5044 - PURCHASES @ COST-ACCESSORIES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/>
      <c r="U36" s="2"/>
      <c r="V36" s="19">
        <f t="shared" si="11"/>
        <v>0</v>
      </c>
      <c r="W36" s="2"/>
      <c r="X36" s="2">
        <f t="shared" si="12"/>
        <v>0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"5045", " - ", "PURCHASES @ COST-SPECIAL ORDER")</f>
        <v xml:space="preserve">          5045 - PURCHASES @ COST-SPECIAL ORDER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0</v>
      </c>
      <c r="Q37" s="2"/>
      <c r="R37" s="19">
        <f t="shared" si="10"/>
        <v>0</v>
      </c>
      <c r="S37" s="2"/>
      <c r="T37" s="2"/>
      <c r="U37" s="2"/>
      <c r="V37" s="19">
        <f t="shared" si="11"/>
        <v>0</v>
      </c>
      <c r="W37" s="2"/>
      <c r="X37" s="2">
        <f t="shared" si="12"/>
        <v>0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"5053", " - ", "PURCHASES @ COST-FOOD")</f>
        <v xml:space="preserve">          5053 - PURCHASES @ COST-FOOD</v>
      </c>
      <c r="C38" s="11"/>
      <c r="D38" s="2">
        <v>1757.73</v>
      </c>
      <c r="E38" s="2"/>
      <c r="F38" s="19">
        <f t="shared" si="6"/>
        <v>3.4417982214487667E-3</v>
      </c>
      <c r="G38" s="2"/>
      <c r="H38" s="2"/>
      <c r="I38" s="2"/>
      <c r="J38" s="19">
        <f t="shared" si="7"/>
        <v>0</v>
      </c>
      <c r="K38" s="2"/>
      <c r="L38" s="2">
        <f t="shared" si="8"/>
        <v>1757.73</v>
      </c>
      <c r="M38" s="2"/>
      <c r="N38" s="19">
        <f t="shared" si="9"/>
        <v>0</v>
      </c>
      <c r="O38" s="11"/>
      <c r="P38" s="2">
        <v>41699.19</v>
      </c>
      <c r="Q38" s="2"/>
      <c r="R38" s="19">
        <f t="shared" si="10"/>
        <v>1.1156860807102079E-2</v>
      </c>
      <c r="S38" s="2"/>
      <c r="T38" s="2"/>
      <c r="U38" s="2"/>
      <c r="V38" s="19">
        <f t="shared" si="11"/>
        <v>0</v>
      </c>
      <c r="W38" s="2"/>
      <c r="X38" s="2">
        <f t="shared" si="12"/>
        <v>41699.19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"5059", " - ", "PURCHASES @ COST-FOOD")</f>
        <v xml:space="preserve">          5059 - PURCHASES @ COST-FOOD</v>
      </c>
      <c r="C39" s="11"/>
      <c r="D39" s="2">
        <v>5966.56</v>
      </c>
      <c r="E39" s="2"/>
      <c r="F39" s="19">
        <f t="shared" si="6"/>
        <v>1.1683077376028942E-2</v>
      </c>
      <c r="G39" s="2"/>
      <c r="H39" s="2"/>
      <c r="I39" s="2"/>
      <c r="J39" s="19">
        <f t="shared" si="7"/>
        <v>0</v>
      </c>
      <c r="K39" s="2"/>
      <c r="L39" s="2">
        <f t="shared" si="8"/>
        <v>5966.56</v>
      </c>
      <c r="M39" s="2"/>
      <c r="N39" s="19">
        <f t="shared" si="9"/>
        <v>0</v>
      </c>
      <c r="O39" s="11"/>
      <c r="P39" s="2">
        <v>4758.12</v>
      </c>
      <c r="Q39" s="2"/>
      <c r="R39" s="19">
        <f t="shared" si="10"/>
        <v>1.2730626792388183E-3</v>
      </c>
      <c r="S39" s="2"/>
      <c r="T39" s="2"/>
      <c r="U39" s="2"/>
      <c r="V39" s="19">
        <f t="shared" si="11"/>
        <v>0</v>
      </c>
      <c r="W39" s="2"/>
      <c r="X39" s="2">
        <f t="shared" si="12"/>
        <v>4758.12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-295778.33</v>
      </c>
      <c r="E40" s="2"/>
      <c r="F40" s="19">
        <f t="shared" si="6"/>
        <v>-0.57916137867424822</v>
      </c>
      <c r="G40" s="2"/>
      <c r="H40" s="2"/>
      <c r="I40" s="2"/>
      <c r="J40" s="19">
        <f t="shared" si="7"/>
        <v>0</v>
      </c>
      <c r="K40" s="2"/>
      <c r="L40" s="2">
        <f t="shared" si="8"/>
        <v>-295778.33</v>
      </c>
      <c r="M40" s="2"/>
      <c r="N40" s="19">
        <f t="shared" si="9"/>
        <v>0</v>
      </c>
      <c r="O40" s="11"/>
      <c r="P40" s="2">
        <v>-2350995.54</v>
      </c>
      <c r="Q40" s="2"/>
      <c r="R40" s="19">
        <f t="shared" si="10"/>
        <v>-0.62902253012343379</v>
      </c>
      <c r="S40" s="2"/>
      <c r="T40" s="2"/>
      <c r="U40" s="2"/>
      <c r="V40" s="19">
        <f t="shared" si="11"/>
        <v>0</v>
      </c>
      <c r="W40" s="2"/>
      <c r="X40" s="2">
        <f t="shared" si="12"/>
        <v>-2350995.54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"5300", " - ", "COG$ OFFSET")</f>
        <v xml:space="preserve">          5300 - COG$ OFFSET</v>
      </c>
      <c r="C41" s="11"/>
      <c r="D41" s="2">
        <v>260630.8</v>
      </c>
      <c r="E41" s="2"/>
      <c r="F41" s="19">
        <f t="shared" si="6"/>
        <v>0.51033925796042001</v>
      </c>
      <c r="G41" s="2"/>
      <c r="H41" s="2"/>
      <c r="I41" s="2"/>
      <c r="J41" s="19">
        <f t="shared" si="7"/>
        <v>0</v>
      </c>
      <c r="K41" s="2"/>
      <c r="L41" s="2">
        <f t="shared" si="8"/>
        <v>260630.8</v>
      </c>
      <c r="M41" s="2"/>
      <c r="N41" s="19">
        <f t="shared" si="9"/>
        <v>0</v>
      </c>
      <c r="O41" s="11"/>
      <c r="P41" s="2">
        <v>1960711.16</v>
      </c>
      <c r="Q41" s="2"/>
      <c r="R41" s="19">
        <f t="shared" si="10"/>
        <v>0.52459967435942167</v>
      </c>
      <c r="S41" s="2"/>
      <c r="T41" s="2"/>
      <c r="U41" s="2"/>
      <c r="V41" s="19">
        <f t="shared" si="11"/>
        <v>0</v>
      </c>
      <c r="W41" s="2"/>
      <c r="X41" s="2">
        <f t="shared" si="12"/>
        <v>1960711.16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"5500", " - ", "FREIGHT-IN")</f>
        <v xml:space="preserve">          5500 - FREIGHT-IN</v>
      </c>
      <c r="C42" s="11"/>
      <c r="D42" s="2">
        <v>9525.24</v>
      </c>
      <c r="E42" s="2"/>
      <c r="F42" s="19">
        <f t="shared" si="6"/>
        <v>1.8651302583942157E-2</v>
      </c>
      <c r="G42" s="2"/>
      <c r="H42" s="2"/>
      <c r="I42" s="2"/>
      <c r="J42" s="19">
        <f t="shared" si="7"/>
        <v>0</v>
      </c>
      <c r="K42" s="2"/>
      <c r="L42" s="2">
        <f t="shared" si="8"/>
        <v>9525.24</v>
      </c>
      <c r="M42" s="2"/>
      <c r="N42" s="19">
        <f t="shared" si="9"/>
        <v>0</v>
      </c>
      <c r="O42" s="11"/>
      <c r="P42" s="2">
        <v>70282.3</v>
      </c>
      <c r="Q42" s="2"/>
      <c r="R42" s="19">
        <f t="shared" si="10"/>
        <v>1.8804438127047324E-2</v>
      </c>
      <c r="S42" s="2"/>
      <c r="T42" s="2"/>
      <c r="U42" s="2"/>
      <c r="V42" s="19">
        <f t="shared" si="11"/>
        <v>0</v>
      </c>
      <c r="W42" s="2"/>
      <c r="X42" s="2">
        <f t="shared" si="12"/>
        <v>70282.3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"5501", " - ", "FREIGHT-IN-NEW TEXT")</f>
        <v xml:space="preserve">          5501 - FREIGHT-IN-NEW TEXT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0</v>
      </c>
      <c r="Q43" s="2"/>
      <c r="R43" s="19">
        <f t="shared" si="10"/>
        <v>0</v>
      </c>
      <c r="S43" s="2"/>
      <c r="T43" s="2"/>
      <c r="U43" s="2"/>
      <c r="V43" s="19">
        <f t="shared" si="11"/>
        <v>0</v>
      </c>
      <c r="W43" s="2"/>
      <c r="X43" s="2">
        <f t="shared" si="12"/>
        <v>0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"5502", " - ", "FREIGHT-IN-USED TEXT")</f>
        <v xml:space="preserve">          5502 - FREIGHT-IN-USED TEXT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"5518", " - ", "FREIGHT-IN-STUDY GUIDES")</f>
        <v xml:space="preserve">          5518 - FREIGHT-IN-STUDY GUIDES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"5527", " - ", "FREIGHT-IN-SCHOOL SUPPLIES")</f>
        <v xml:space="preserve">          5527 - FREIGHT-IN-SCHOOL SUPPLIES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"5528", " - ", "FREIGHT-IN-ART/TECH")</f>
        <v xml:space="preserve">          5528 - FREIGHT-IN-ART/TECH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0</v>
      </c>
      <c r="Q47" s="2"/>
      <c r="R47" s="19">
        <f t="shared" si="10"/>
        <v>0</v>
      </c>
      <c r="S47" s="2"/>
      <c r="T47" s="2"/>
      <c r="U47" s="2"/>
      <c r="V47" s="19">
        <f t="shared" si="11"/>
        <v>0</v>
      </c>
      <c r="W47" s="2"/>
      <c r="X47" s="2">
        <f t="shared" si="12"/>
        <v>0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"5540", " - ", "FREIGHT-IN-LOGO CLOTHING")</f>
        <v xml:space="preserve">          5540 - FREIGHT-IN-LOGO CLOTHING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0</v>
      </c>
      <c r="Q48" s="2"/>
      <c r="R48" s="19">
        <f t="shared" si="10"/>
        <v>0</v>
      </c>
      <c r="S48" s="2"/>
      <c r="T48" s="2"/>
      <c r="U48" s="2"/>
      <c r="V48" s="19">
        <f t="shared" si="11"/>
        <v>0</v>
      </c>
      <c r="W48" s="2"/>
      <c r="X48" s="2">
        <f t="shared" si="12"/>
        <v>0</v>
      </c>
      <c r="Y48" s="2"/>
      <c r="Z48" s="19">
        <f t="shared" si="13"/>
        <v>0</v>
      </c>
    </row>
    <row r="49" spans="1:26" s="24" customFormat="1" hidden="1" outlineLevel="1" x14ac:dyDescent="0.3">
      <c r="A49" s="44"/>
      <c r="B49" s="11" t="str">
        <f>CONCATENATE("          ", "5541", " - ", "FREIGHT-IN-LOGO GIFTS")</f>
        <v xml:space="preserve">          5541 - FREIGHT-IN-LOGO GIFTS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0</v>
      </c>
      <c r="Q49" s="2"/>
      <c r="R49" s="19">
        <f t="shared" si="10"/>
        <v>0</v>
      </c>
      <c r="S49" s="2"/>
      <c r="T49" s="2"/>
      <c r="U49" s="2"/>
      <c r="V49" s="19">
        <f t="shared" si="11"/>
        <v>0</v>
      </c>
      <c r="W49" s="2"/>
      <c r="X49" s="2">
        <f t="shared" si="12"/>
        <v>0</v>
      </c>
      <c r="Y49" s="2"/>
      <c r="Z49" s="19">
        <f t="shared" si="13"/>
        <v>0</v>
      </c>
    </row>
    <row r="50" spans="1:26" s="24" customFormat="1" hidden="1" outlineLevel="1" x14ac:dyDescent="0.3">
      <c r="A50" s="44"/>
      <c r="B50" s="11" t="str">
        <f>CONCATENATE("          ", "5542", " - ", "FREIGHT-IN-EVERYDAY GIFTS")</f>
        <v xml:space="preserve">          5542 - FREIGHT-IN-EVERYDAY GIFTS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0</v>
      </c>
      <c r="Q50" s="2"/>
      <c r="R50" s="19">
        <f t="shared" si="10"/>
        <v>0</v>
      </c>
      <c r="S50" s="2"/>
      <c r="T50" s="2"/>
      <c r="U50" s="2"/>
      <c r="V50" s="19">
        <f t="shared" si="11"/>
        <v>0</v>
      </c>
      <c r="W50" s="2"/>
      <c r="X50" s="2">
        <f t="shared" si="12"/>
        <v>0</v>
      </c>
      <c r="Y50" s="2"/>
      <c r="Z50" s="19">
        <f t="shared" si="13"/>
        <v>0</v>
      </c>
    </row>
    <row r="51" spans="1:26" s="24" customFormat="1" hidden="1" outlineLevel="1" x14ac:dyDescent="0.3">
      <c r="A51" s="44"/>
      <c r="B51" s="11" t="str">
        <f>CONCATENATE("          ", "5544", " - ", "FREIGHT-IN-ACCESSORIES")</f>
        <v xml:space="preserve">          5544 - FREIGHT-IN-ACCESSORIES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3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0</v>
      </c>
      <c r="Q52" s="2"/>
      <c r="R52" s="19">
        <f t="shared" si="10"/>
        <v>0</v>
      </c>
      <c r="S52" s="2"/>
      <c r="T52" s="2"/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x14ac:dyDescent="0.3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3">
      <c r="A54" s="10"/>
      <c r="B54" s="26" t="s">
        <v>108</v>
      </c>
      <c r="C54" s="26"/>
      <c r="D54" s="20">
        <f>D12-D23</f>
        <v>244881.43000000011</v>
      </c>
      <c r="E54" s="13"/>
      <c r="F54" s="22">
        <f>IF(D$12=0,0,D54/D$12)</f>
        <v>0.47950053207252025</v>
      </c>
      <c r="G54" s="13"/>
      <c r="H54" s="20">
        <f>H12-H23</f>
        <v>212843</v>
      </c>
      <c r="I54" s="13"/>
      <c r="J54" s="22">
        <f>IF(H$12=0,0,H54/H$12)</f>
        <v>0.48690227548800491</v>
      </c>
      <c r="K54" s="16"/>
      <c r="L54" s="20">
        <f>+D54-H54</f>
        <v>32038.430000000109</v>
      </c>
      <c r="M54" s="16"/>
      <c r="N54" s="22">
        <f>IF(H54=0,0,L54/H54)</f>
        <v>0.15052611549358028</v>
      </c>
      <c r="O54" s="25"/>
      <c r="P54" s="20">
        <f>P12-P23</f>
        <v>1479158.2500000005</v>
      </c>
      <c r="Q54" s="13"/>
      <c r="R54" s="22">
        <f>IF(P$12=0,0,P54/P$12)</f>
        <v>0.39575739257589182</v>
      </c>
      <c r="S54" s="13"/>
      <c r="T54" s="20">
        <f>T12-T23</f>
        <v>1936412</v>
      </c>
      <c r="U54" s="13"/>
      <c r="V54" s="22">
        <f>IF(T$12=0,0,T54/T$12)</f>
        <v>0.3791497144548856</v>
      </c>
      <c r="W54" s="16"/>
      <c r="X54" s="20">
        <f>+P54-T54</f>
        <v>-457253.74999999953</v>
      </c>
      <c r="Y54" s="16"/>
      <c r="Z54" s="22">
        <f>IF(T54=0,0,X54/T54)</f>
        <v>-0.23613453645195318</v>
      </c>
    </row>
    <row r="55" spans="1:26" x14ac:dyDescent="0.3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5" t="s">
        <v>295</v>
      </c>
      <c r="C56" s="10"/>
      <c r="D56" s="21">
        <f>SUM(OSRRefD22x_0)</f>
        <v>298095.88000000006</v>
      </c>
      <c r="E56" s="21"/>
      <c r="F56" s="32">
        <f t="shared" ref="F56:F67" si="14">IF(D$12=0,0,D56/D$12)</f>
        <v>0.58369935633186276</v>
      </c>
      <c r="G56" s="21"/>
      <c r="H56" s="21">
        <f>SUM(OSRRefH22x_0)</f>
        <v>327511.28073191282</v>
      </c>
      <c r="I56" s="21"/>
      <c r="J56" s="32">
        <f t="shared" ref="J56:J67" si="15">IF(H$12=0,0,H56/H$12)</f>
        <v>0.74921885068505489</v>
      </c>
      <c r="K56" s="4"/>
      <c r="L56" s="21">
        <f t="shared" ref="L56:L67" si="16">+D56-H56</f>
        <v>-29415.400731912756</v>
      </c>
      <c r="M56" s="4"/>
      <c r="N56" s="32">
        <f t="shared" ref="N56:N67" si="17">IF(H56=0,0,L56/H56)</f>
        <v>-8.9814923828504659E-2</v>
      </c>
      <c r="O56" s="10"/>
      <c r="P56" s="21">
        <f>SUM(OSRRefP22x_0)</f>
        <v>1985529.7200000002</v>
      </c>
      <c r="Q56" s="21"/>
      <c r="R56" s="32">
        <f t="shared" ref="R56:R67" si="18">IF(P$12=0,0,P56/P$12)</f>
        <v>0.53124002443223395</v>
      </c>
      <c r="S56" s="21"/>
      <c r="T56" s="21">
        <f>SUM(OSRRefT22x_0)</f>
        <v>2231058.2369801253</v>
      </c>
      <c r="U56" s="21"/>
      <c r="V56" s="32">
        <f t="shared" ref="V56:V67" si="19">IF(T$12=0,0,T56/T$12)</f>
        <v>0.4368414849129395</v>
      </c>
      <c r="W56" s="4"/>
      <c r="X56" s="21">
        <f t="shared" ref="X56:X67" si="20">+P56-T56</f>
        <v>-245528.5169801251</v>
      </c>
      <c r="Y56" s="4"/>
      <c r="Z56" s="32">
        <f t="shared" ref="Z56:Z67" si="21">IF(T56=0,0,X56/T56)</f>
        <v>-0.11005025010573595</v>
      </c>
    </row>
    <row r="57" spans="1:26" s="28" customFormat="1" outlineLevel="1" collapsed="1" x14ac:dyDescent="0.3">
      <c r="A57" s="27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SUM(OSRRefD22_0x_0)</f>
        <v>45313.18</v>
      </c>
      <c r="E57" s="1"/>
      <c r="F57" s="5">
        <f t="shared" si="14"/>
        <v>8.8727405421872421E-2</v>
      </c>
      <c r="G57" s="1"/>
      <c r="H57" s="1">
        <f>SUM(OSRRefH22_0x_0)</f>
        <v>47715.624417428262</v>
      </c>
      <c r="I57" s="1"/>
      <c r="J57" s="5">
        <f t="shared" si="15"/>
        <v>0.10915485172252237</v>
      </c>
      <c r="K57" s="1"/>
      <c r="L57" s="1">
        <f t="shared" si="16"/>
        <v>-2402.4444174282617</v>
      </c>
      <c r="M57" s="1"/>
      <c r="N57" s="5">
        <f t="shared" si="17"/>
        <v>-5.0349218872440496E-2</v>
      </c>
      <c r="O57" s="14"/>
      <c r="P57" s="1">
        <f>SUM(OSRRefP22_0x_0)</f>
        <v>303968.97000000003</v>
      </c>
      <c r="Q57" s="1"/>
      <c r="R57" s="5">
        <f t="shared" si="18"/>
        <v>8.1328665807853529E-2</v>
      </c>
      <c r="S57" s="1"/>
      <c r="T57" s="1">
        <f>SUM(OSRRefT22_0x_0)</f>
        <v>316999.13939751423</v>
      </c>
      <c r="U57" s="1"/>
      <c r="V57" s="5">
        <f t="shared" si="19"/>
        <v>6.2068471577852231E-2</v>
      </c>
      <c r="W57" s="1"/>
      <c r="X57" s="1">
        <f t="shared" si="20"/>
        <v>-13030.169397514197</v>
      </c>
      <c r="Y57" s="1"/>
      <c r="Z57" s="5">
        <f t="shared" si="21"/>
        <v>-4.1104746915967098E-2</v>
      </c>
    </row>
    <row r="58" spans="1:26" s="24" customFormat="1" hidden="1" outlineLevel="2" x14ac:dyDescent="0.3">
      <c r="A58" s="29"/>
      <c r="B58" s="11" t="str">
        <f>CONCATENATE("          ", "6111", " - ", "F.I.C.A.")</f>
        <v xml:space="preserve">          6111 - F.I.C.A.</v>
      </c>
      <c r="C58" s="11"/>
      <c r="D58" s="6">
        <v>7212.15</v>
      </c>
      <c r="E58" s="2"/>
      <c r="F58" s="7">
        <f t="shared" si="14"/>
        <v>1.4122058019617188E-2</v>
      </c>
      <c r="G58" s="2"/>
      <c r="H58" s="6">
        <v>9311.2288625951605</v>
      </c>
      <c r="I58" s="2"/>
      <c r="J58" s="7">
        <f t="shared" si="15"/>
        <v>2.1300482143115685E-2</v>
      </c>
      <c r="K58" s="2"/>
      <c r="L58" s="6">
        <f t="shared" si="16"/>
        <v>-2099.0788625951609</v>
      </c>
      <c r="M58" s="2"/>
      <c r="N58" s="7">
        <f t="shared" si="17"/>
        <v>-0.2254352130713411</v>
      </c>
      <c r="O58" s="11"/>
      <c r="P58" s="6">
        <v>57163.05</v>
      </c>
      <c r="Q58" s="2"/>
      <c r="R58" s="7">
        <f t="shared" si="18"/>
        <v>1.5294306487953758E-2</v>
      </c>
      <c r="S58" s="2"/>
      <c r="T58" s="6">
        <v>63910.6116045608</v>
      </c>
      <c r="U58" s="2"/>
      <c r="V58" s="7">
        <f t="shared" si="19"/>
        <v>1.2513705833524232E-2</v>
      </c>
      <c r="W58" s="2"/>
      <c r="X58" s="6">
        <f t="shared" si="20"/>
        <v>-6747.5616045607967</v>
      </c>
      <c r="Y58" s="2"/>
      <c r="Z58" s="7">
        <f t="shared" si="21"/>
        <v>-0.10557811035060219</v>
      </c>
    </row>
    <row r="59" spans="1:26" s="24" customFormat="1" hidden="1" outlineLevel="2" x14ac:dyDescent="0.3">
      <c r="A59" s="29"/>
      <c r="B59" s="11" t="str">
        <f>CONCATENATE("          ", "6112", " - ", "COMPENSATION INSURANCE")</f>
        <v xml:space="preserve">          6112 - COMPENSATION INSURANCE</v>
      </c>
      <c r="C59" s="11"/>
      <c r="D59" s="6">
        <v>2292.13</v>
      </c>
      <c r="E59" s="2"/>
      <c r="F59" s="7">
        <f t="shared" si="14"/>
        <v>4.4882029420498949E-3</v>
      </c>
      <c r="G59" s="2"/>
      <c r="H59" s="6">
        <v>3007.0552408646199</v>
      </c>
      <c r="I59" s="2"/>
      <c r="J59" s="7">
        <f t="shared" si="15"/>
        <v>6.8789767072213511E-3</v>
      </c>
      <c r="K59" s="2"/>
      <c r="L59" s="6">
        <f t="shared" si="16"/>
        <v>-714.92524086461981</v>
      </c>
      <c r="M59" s="2"/>
      <c r="N59" s="7">
        <f t="shared" si="17"/>
        <v>-0.23774928745873555</v>
      </c>
      <c r="O59" s="11"/>
      <c r="P59" s="6">
        <v>15302.96</v>
      </c>
      <c r="Q59" s="2"/>
      <c r="R59" s="7">
        <f t="shared" si="18"/>
        <v>4.0943959500568429E-3</v>
      </c>
      <c r="S59" s="2"/>
      <c r="T59" s="6">
        <v>20011.629190619999</v>
      </c>
      <c r="U59" s="2"/>
      <c r="V59" s="7">
        <f t="shared" si="19"/>
        <v>3.9182795259483138E-3</v>
      </c>
      <c r="W59" s="2"/>
      <c r="X59" s="6">
        <f t="shared" si="20"/>
        <v>-4708.6691906199994</v>
      </c>
      <c r="Y59" s="2"/>
      <c r="Z59" s="7">
        <f t="shared" si="21"/>
        <v>-0.23529664405470208</v>
      </c>
    </row>
    <row r="60" spans="1:26" s="24" customFormat="1" hidden="1" outlineLevel="2" x14ac:dyDescent="0.3">
      <c r="A60" s="29"/>
      <c r="B60" s="11" t="str">
        <f>CONCATENATE("          ", "6113", " - ", "GROUP INSURANCE")</f>
        <v xml:space="preserve">          6113 - GROUP INSURANCE</v>
      </c>
      <c r="C60" s="11"/>
      <c r="D60" s="6">
        <v>16584.52</v>
      </c>
      <c r="E60" s="2"/>
      <c r="F60" s="7">
        <f t="shared" si="14"/>
        <v>3.2474026977739184E-2</v>
      </c>
      <c r="G60" s="2"/>
      <c r="H60" s="6">
        <v>17692.9230769231</v>
      </c>
      <c r="I60" s="2"/>
      <c r="J60" s="7">
        <f t="shared" si="15"/>
        <v>4.0474549344766284E-2</v>
      </c>
      <c r="K60" s="2"/>
      <c r="L60" s="6">
        <f t="shared" si="16"/>
        <v>-1108.4030769230994</v>
      </c>
      <c r="M60" s="2"/>
      <c r="N60" s="7">
        <f t="shared" si="17"/>
        <v>-6.2646690549895107E-2</v>
      </c>
      <c r="O60" s="11"/>
      <c r="P60" s="6">
        <v>106840.85</v>
      </c>
      <c r="Q60" s="2"/>
      <c r="R60" s="7">
        <f t="shared" si="18"/>
        <v>2.8585890804173227E-2</v>
      </c>
      <c r="S60" s="2"/>
      <c r="T60" s="6">
        <v>113236.5</v>
      </c>
      <c r="U60" s="2"/>
      <c r="V60" s="7">
        <f t="shared" si="19"/>
        <v>2.2171721018497435E-2</v>
      </c>
      <c r="W60" s="2"/>
      <c r="X60" s="6">
        <f t="shared" si="20"/>
        <v>-6395.6499999999942</v>
      </c>
      <c r="Y60" s="2"/>
      <c r="Z60" s="7">
        <f t="shared" si="21"/>
        <v>-5.6480463454804716E-2</v>
      </c>
    </row>
    <row r="61" spans="1:26" s="24" customFormat="1" hidden="1" outlineLevel="2" x14ac:dyDescent="0.3">
      <c r="A61" s="29"/>
      <c r="B61" s="11" t="str">
        <f>CONCATENATE("          ", "6114", " - ", "STATE UNEMPLOYMENT INSURANCE")</f>
        <v xml:space="preserve">          6114 - STATE UNEMPLOYMENT INSURANCE</v>
      </c>
      <c r="C61" s="11"/>
      <c r="D61" s="6">
        <v>412.35</v>
      </c>
      <c r="E61" s="2"/>
      <c r="F61" s="7">
        <f t="shared" si="14"/>
        <v>8.0741951074078438E-4</v>
      </c>
      <c r="G61" s="2"/>
      <c r="H61" s="6">
        <v>365.219814006923</v>
      </c>
      <c r="I61" s="2"/>
      <c r="J61" s="7">
        <f t="shared" si="15"/>
        <v>8.3548135711898792E-4</v>
      </c>
      <c r="K61" s="2"/>
      <c r="L61" s="6">
        <f t="shared" si="16"/>
        <v>47.130185993077021</v>
      </c>
      <c r="M61" s="2"/>
      <c r="N61" s="7">
        <f t="shared" si="17"/>
        <v>0.12904608179933971</v>
      </c>
      <c r="O61" s="11"/>
      <c r="P61" s="6">
        <v>2756.17</v>
      </c>
      <c r="Q61" s="2"/>
      <c r="R61" s="7">
        <f t="shared" si="18"/>
        <v>7.3742931339219149E-4</v>
      </c>
      <c r="S61" s="2"/>
      <c r="T61" s="6">
        <v>2432.52573719885</v>
      </c>
      <c r="U61" s="2"/>
      <c r="V61" s="7">
        <f t="shared" si="19"/>
        <v>4.7628884693087217E-4</v>
      </c>
      <c r="W61" s="2"/>
      <c r="X61" s="6">
        <f t="shared" si="20"/>
        <v>323.64426280115003</v>
      </c>
      <c r="Y61" s="2"/>
      <c r="Z61" s="7">
        <f t="shared" si="21"/>
        <v>0.13304864892152765</v>
      </c>
    </row>
    <row r="62" spans="1:26" s="24" customFormat="1" hidden="1" outlineLevel="2" x14ac:dyDescent="0.3">
      <c r="A62" s="29"/>
      <c r="B62" s="11" t="str">
        <f>CONCATENATE("          ", "6115", " - ", "P.E.R.S.")</f>
        <v xml:space="preserve">          6115 - P.E.R.S.</v>
      </c>
      <c r="C62" s="11"/>
      <c r="D62" s="6">
        <v>5703.78</v>
      </c>
      <c r="E62" s="2"/>
      <c r="F62" s="7">
        <f t="shared" si="14"/>
        <v>1.1168529785311195E-2</v>
      </c>
      <c r="G62" s="2"/>
      <c r="H62" s="6">
        <v>4613.5268585692302</v>
      </c>
      <c r="I62" s="2"/>
      <c r="J62" s="7">
        <f t="shared" si="15"/>
        <v>1.0553961020387729E-2</v>
      </c>
      <c r="K62" s="2"/>
      <c r="L62" s="6">
        <f t="shared" si="16"/>
        <v>1090.2531414307696</v>
      </c>
      <c r="M62" s="2"/>
      <c r="N62" s="7">
        <f t="shared" si="17"/>
        <v>0.23631663472506245</v>
      </c>
      <c r="O62" s="11"/>
      <c r="P62" s="6">
        <v>42607.82</v>
      </c>
      <c r="Q62" s="2"/>
      <c r="R62" s="7">
        <f t="shared" si="18"/>
        <v>1.1399970048196621E-2</v>
      </c>
      <c r="S62" s="2"/>
      <c r="T62" s="6">
        <v>31805.5180422384</v>
      </c>
      <c r="U62" s="2"/>
      <c r="V62" s="7">
        <f t="shared" si="19"/>
        <v>6.2275244544055712E-3</v>
      </c>
      <c r="W62" s="2"/>
      <c r="X62" s="6">
        <f t="shared" si="20"/>
        <v>10802.3019577616</v>
      </c>
      <c r="Y62" s="2"/>
      <c r="Z62" s="7">
        <f t="shared" si="21"/>
        <v>0.33963609532836142</v>
      </c>
    </row>
    <row r="63" spans="1:26" s="24" customFormat="1" hidden="1" outlineLevel="2" x14ac:dyDescent="0.3">
      <c r="A63" s="29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4"/>
        <v>0</v>
      </c>
      <c r="G63" s="2"/>
      <c r="H63" s="6">
        <v>0</v>
      </c>
      <c r="I63" s="2"/>
      <c r="J63" s="7">
        <f t="shared" si="15"/>
        <v>0</v>
      </c>
      <c r="K63" s="2"/>
      <c r="L63" s="6">
        <f t="shared" si="16"/>
        <v>0</v>
      </c>
      <c r="M63" s="2"/>
      <c r="N63" s="7">
        <f t="shared" si="17"/>
        <v>0</v>
      </c>
      <c r="O63" s="11"/>
      <c r="P63" s="6"/>
      <c r="Q63" s="2"/>
      <c r="R63" s="7">
        <f t="shared" si="18"/>
        <v>0</v>
      </c>
      <c r="S63" s="2"/>
      <c r="T63" s="6">
        <v>0</v>
      </c>
      <c r="U63" s="2"/>
      <c r="V63" s="7">
        <f t="shared" si="19"/>
        <v>0</v>
      </c>
      <c r="W63" s="2"/>
      <c r="X63" s="6">
        <f t="shared" si="20"/>
        <v>0</v>
      </c>
      <c r="Y63" s="2"/>
      <c r="Z63" s="7">
        <f t="shared" si="21"/>
        <v>0</v>
      </c>
    </row>
    <row r="64" spans="1:26" s="24" customFormat="1" hidden="1" outlineLevel="2" x14ac:dyDescent="0.3">
      <c r="A64" s="29"/>
      <c r="B64" s="11" t="str">
        <f>CONCATENATE("          ", "6117", " - ", "RETIREMENT STAFF HOURLY")</f>
        <v xml:space="preserve">          6117 - RETIREMENT STAFF HOURLY</v>
      </c>
      <c r="C64" s="11"/>
      <c r="D64" s="6">
        <v>590.27</v>
      </c>
      <c r="E64" s="2"/>
      <c r="F64" s="7">
        <f t="shared" si="14"/>
        <v>1.155803357839124E-3</v>
      </c>
      <c r="G64" s="2"/>
      <c r="H64" s="6"/>
      <c r="I64" s="2"/>
      <c r="J64" s="7">
        <f t="shared" si="15"/>
        <v>0</v>
      </c>
      <c r="K64" s="2"/>
      <c r="L64" s="6">
        <f t="shared" si="16"/>
        <v>590.27</v>
      </c>
      <c r="M64" s="2"/>
      <c r="N64" s="7">
        <f t="shared" si="17"/>
        <v>0</v>
      </c>
      <c r="O64" s="11"/>
      <c r="P64" s="6">
        <v>3694.41</v>
      </c>
      <c r="Q64" s="2"/>
      <c r="R64" s="7">
        <f t="shared" si="18"/>
        <v>9.8846088219857486E-4</v>
      </c>
      <c r="S64" s="2"/>
      <c r="T64" s="6"/>
      <c r="U64" s="2"/>
      <c r="V64" s="7">
        <f t="shared" si="19"/>
        <v>0</v>
      </c>
      <c r="W64" s="2"/>
      <c r="X64" s="6">
        <f t="shared" si="20"/>
        <v>3694.41</v>
      </c>
      <c r="Y64" s="2"/>
      <c r="Z64" s="7">
        <f t="shared" si="21"/>
        <v>0</v>
      </c>
    </row>
    <row r="65" spans="1:26" s="24" customFormat="1" hidden="1" outlineLevel="2" x14ac:dyDescent="0.3">
      <c r="A65" s="29"/>
      <c r="B65" s="11" t="str">
        <f>CONCATENATE("          ", "6118", " - ", "VACATION")</f>
        <v xml:space="preserve">          6118 - VACATION</v>
      </c>
      <c r="C65" s="11"/>
      <c r="D65" s="6">
        <v>5565.87</v>
      </c>
      <c r="E65" s="2"/>
      <c r="F65" s="7">
        <f t="shared" si="14"/>
        <v>1.0898489225771333E-2</v>
      </c>
      <c r="G65" s="2"/>
      <c r="H65" s="6">
        <v>4024.5376188230798</v>
      </c>
      <c r="I65" s="2"/>
      <c r="J65" s="7">
        <f t="shared" si="15"/>
        <v>9.2065819613143703E-3</v>
      </c>
      <c r="K65" s="2"/>
      <c r="L65" s="6">
        <f t="shared" si="16"/>
        <v>1541.3323811769201</v>
      </c>
      <c r="M65" s="2"/>
      <c r="N65" s="7">
        <f t="shared" si="17"/>
        <v>0.38298371817124705</v>
      </c>
      <c r="O65" s="11"/>
      <c r="P65" s="6">
        <v>34538.379999999997</v>
      </c>
      <c r="Q65" s="2"/>
      <c r="R65" s="7">
        <f t="shared" si="18"/>
        <v>9.2409444443117064E-3</v>
      </c>
      <c r="S65" s="2"/>
      <c r="T65" s="6">
        <v>28272.975291580799</v>
      </c>
      <c r="U65" s="2"/>
      <c r="V65" s="7">
        <f t="shared" si="19"/>
        <v>5.5358521371448302E-3</v>
      </c>
      <c r="W65" s="2"/>
      <c r="X65" s="6">
        <f t="shared" si="20"/>
        <v>6265.4047084191989</v>
      </c>
      <c r="Y65" s="2"/>
      <c r="Z65" s="7">
        <f t="shared" si="21"/>
        <v>0.22160401032447857</v>
      </c>
    </row>
    <row r="66" spans="1:26" s="24" customFormat="1" hidden="1" outlineLevel="2" x14ac:dyDescent="0.3">
      <c r="A66" s="29"/>
      <c r="B66" s="11" t="str">
        <f>CONCATENATE("          ", "6119", " - ", "SICK LEAVE")</f>
        <v xml:space="preserve">          6119 - SICK LEAVE</v>
      </c>
      <c r="C66" s="11"/>
      <c r="D66" s="6">
        <v>4000.86</v>
      </c>
      <c r="E66" s="2"/>
      <c r="F66" s="7">
        <f t="shared" si="14"/>
        <v>7.8340546228746807E-3</v>
      </c>
      <c r="G66" s="2"/>
      <c r="H66" s="6">
        <v>6426.1329456461499</v>
      </c>
      <c r="I66" s="2"/>
      <c r="J66" s="7">
        <f t="shared" si="15"/>
        <v>1.4700501091525426E-2</v>
      </c>
      <c r="K66" s="2"/>
      <c r="L66" s="6">
        <f t="shared" si="16"/>
        <v>-2425.2729456461498</v>
      </c>
      <c r="M66" s="2"/>
      <c r="N66" s="7">
        <f t="shared" si="17"/>
        <v>-0.37740783861145089</v>
      </c>
      <c r="O66" s="11"/>
      <c r="P66" s="6">
        <v>25073.51</v>
      </c>
      <c r="Q66" s="2"/>
      <c r="R66" s="7">
        <f t="shared" si="18"/>
        <v>6.7085634281021291E-3</v>
      </c>
      <c r="S66" s="2"/>
      <c r="T66" s="6">
        <v>42804.379531315397</v>
      </c>
      <c r="U66" s="2"/>
      <c r="V66" s="7">
        <f t="shared" si="19"/>
        <v>8.3811029247478231E-3</v>
      </c>
      <c r="W66" s="2"/>
      <c r="X66" s="6">
        <f t="shared" si="20"/>
        <v>-17730.869531315398</v>
      </c>
      <c r="Y66" s="2"/>
      <c r="Z66" s="7">
        <f t="shared" si="21"/>
        <v>-0.4142302662825334</v>
      </c>
    </row>
    <row r="67" spans="1:26" s="24" customFormat="1" hidden="1" outlineLevel="2" x14ac:dyDescent="0.3">
      <c r="A67" s="29"/>
      <c r="B67" s="11" t="str">
        <f>CONCATENATE("          ", "6156", " - ", "EMPLOYEE MEALS")</f>
        <v xml:space="preserve">          6156 - EMPLOYEE MEALS</v>
      </c>
      <c r="C67" s="11"/>
      <c r="D67" s="6">
        <v>2951.25</v>
      </c>
      <c r="E67" s="2"/>
      <c r="F67" s="7">
        <f t="shared" si="14"/>
        <v>5.7788209799290403E-3</v>
      </c>
      <c r="G67" s="2"/>
      <c r="H67" s="6">
        <v>2275</v>
      </c>
      <c r="I67" s="2"/>
      <c r="J67" s="7">
        <f t="shared" si="15"/>
        <v>5.2043180970725422E-3</v>
      </c>
      <c r="K67" s="2"/>
      <c r="L67" s="6">
        <f t="shared" si="16"/>
        <v>676.25</v>
      </c>
      <c r="M67" s="2"/>
      <c r="N67" s="7">
        <f t="shared" si="17"/>
        <v>0.29725274725274725</v>
      </c>
      <c r="O67" s="11"/>
      <c r="P67" s="6">
        <v>15991.82</v>
      </c>
      <c r="Q67" s="2"/>
      <c r="R67" s="7">
        <f t="shared" si="18"/>
        <v>4.2787044494684706E-3</v>
      </c>
      <c r="S67" s="2"/>
      <c r="T67" s="6">
        <v>14525</v>
      </c>
      <c r="U67" s="2"/>
      <c r="V67" s="7">
        <f t="shared" si="19"/>
        <v>2.843996836653157E-3</v>
      </c>
      <c r="W67" s="2"/>
      <c r="X67" s="6">
        <f t="shared" si="20"/>
        <v>1466.8199999999997</v>
      </c>
      <c r="Y67" s="2"/>
      <c r="Z67" s="7">
        <f t="shared" si="21"/>
        <v>0.10098588640275385</v>
      </c>
    </row>
    <row r="68" spans="1:26" s="28" customFormat="1" outlineLevel="1" collapsed="1" x14ac:dyDescent="0.3">
      <c r="A68" s="27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156278.80000000002</v>
      </c>
      <c r="E68" s="1"/>
      <c r="F68" s="5">
        <f t="shared" ref="F68:F78" si="22">IF(D$12=0,0,D68/D$12)</f>
        <v>0.30600837209932558</v>
      </c>
      <c r="G68" s="1"/>
      <c r="H68" s="1">
        <f>SUM(OSRRefH22_1x_0)</f>
        <v>166442.6563144846</v>
      </c>
      <c r="I68" s="1"/>
      <c r="J68" s="5">
        <f t="shared" ref="J68:J78" si="23">IF(H$12=0,0,H68/H$12)</f>
        <v>0.38075627621199898</v>
      </c>
      <c r="K68" s="1"/>
      <c r="L68" s="1">
        <f t="shared" ref="L68:L78" si="24">+D68-H68</f>
        <v>-10163.856314484583</v>
      </c>
      <c r="M68" s="1"/>
      <c r="N68" s="5">
        <f t="shared" ref="N68:N78" si="25">IF(H68=0,0,L68/H68)</f>
        <v>-6.1065213326567641E-2</v>
      </c>
      <c r="O68" s="14"/>
      <c r="P68" s="1">
        <f>SUM(OSRRefP22_1x_0)</f>
        <v>979767.46</v>
      </c>
      <c r="Q68" s="1"/>
      <c r="R68" s="5">
        <f t="shared" ref="R68:R78" si="26">IF(P$12=0,0,P68/P$12)</f>
        <v>0.2621424822532033</v>
      </c>
      <c r="S68" s="1"/>
      <c r="T68" s="1">
        <f>SUM(OSRRefT22_1x_0)</f>
        <v>1107145.347582611</v>
      </c>
      <c r="U68" s="1"/>
      <c r="V68" s="5">
        <f t="shared" ref="V68:V78" si="27">IF(T$12=0,0,T68/T$12)</f>
        <v>0.21677919905268198</v>
      </c>
      <c r="W68" s="1"/>
      <c r="X68" s="1">
        <f t="shared" ref="X68:X78" si="28">+P68-T68</f>
        <v>-127377.88758261106</v>
      </c>
      <c r="Y68" s="1"/>
      <c r="Z68" s="5">
        <f t="shared" ref="Z68:Z78" si="29">IF(T68=0,0,X68/T68)</f>
        <v>-0.11505073643739139</v>
      </c>
    </row>
    <row r="69" spans="1:26" s="24" customFormat="1" hidden="1" outlineLevel="2" x14ac:dyDescent="0.3">
      <c r="A69" s="29"/>
      <c r="B69" s="11" t="str">
        <f>CONCATENATE("          ", "6001", " - ", "ADMINISTRATIVE SALARIES")</f>
        <v xml:space="preserve">          6001 - ADMINISTRATIVE SALARIES</v>
      </c>
      <c r="C69" s="11"/>
      <c r="D69" s="6">
        <v>4658.26</v>
      </c>
      <c r="E69" s="2"/>
      <c r="F69" s="7">
        <f t="shared" si="22"/>
        <v>9.1213047413686577E-3</v>
      </c>
      <c r="G69" s="2"/>
      <c r="H69" s="6">
        <v>4139.8076923076896</v>
      </c>
      <c r="I69" s="2"/>
      <c r="J69" s="7">
        <f t="shared" si="23"/>
        <v>9.4702752050448476E-3</v>
      </c>
      <c r="K69" s="2"/>
      <c r="L69" s="6">
        <f t="shared" si="24"/>
        <v>518.45230769231057</v>
      </c>
      <c r="M69" s="2"/>
      <c r="N69" s="7">
        <f t="shared" si="25"/>
        <v>0.1252358433595028</v>
      </c>
      <c r="O69" s="11"/>
      <c r="P69" s="6">
        <v>28334.77</v>
      </c>
      <c r="Q69" s="2"/>
      <c r="R69" s="7">
        <f t="shared" si="26"/>
        <v>7.5811325085991298E-3</v>
      </c>
      <c r="S69" s="2"/>
      <c r="T69" s="6">
        <v>26908.75</v>
      </c>
      <c r="U69" s="2"/>
      <c r="V69" s="7">
        <f t="shared" si="27"/>
        <v>5.2687366525501298E-3</v>
      </c>
      <c r="W69" s="2"/>
      <c r="X69" s="6">
        <f t="shared" si="28"/>
        <v>1426.0200000000004</v>
      </c>
      <c r="Y69" s="2"/>
      <c r="Z69" s="7">
        <f t="shared" si="29"/>
        <v>5.2994657871510212E-2</v>
      </c>
    </row>
    <row r="70" spans="1:26" s="24" customFormat="1" hidden="1" outlineLevel="2" x14ac:dyDescent="0.3">
      <c r="A70" s="29"/>
      <c r="B70" s="11" t="str">
        <f>CONCATENATE("          ", "6002", " - ", "STAFF SALARIES")</f>
        <v xml:space="preserve">          6002 - STAFF SALARIES</v>
      </c>
      <c r="C70" s="11"/>
      <c r="D70" s="6">
        <v>52623.72</v>
      </c>
      <c r="E70" s="2"/>
      <c r="F70" s="7">
        <f t="shared" si="22"/>
        <v>0.10304212017887723</v>
      </c>
      <c r="G70" s="2"/>
      <c r="H70" s="6">
        <v>44231.773854176899</v>
      </c>
      <c r="I70" s="2"/>
      <c r="J70" s="7">
        <f t="shared" si="23"/>
        <v>0.10118515214721449</v>
      </c>
      <c r="K70" s="2"/>
      <c r="L70" s="6">
        <f t="shared" si="24"/>
        <v>8391.9461458231017</v>
      </c>
      <c r="M70" s="2"/>
      <c r="N70" s="7">
        <f t="shared" si="25"/>
        <v>0.18972664703635062</v>
      </c>
      <c r="O70" s="11"/>
      <c r="P70" s="6">
        <v>341639.07</v>
      </c>
      <c r="Q70" s="2"/>
      <c r="R70" s="7">
        <f t="shared" si="26"/>
        <v>9.1407520152257241E-2</v>
      </c>
      <c r="S70" s="2"/>
      <c r="T70" s="6">
        <v>305471.116590611</v>
      </c>
      <c r="U70" s="2"/>
      <c r="V70" s="7">
        <f t="shared" si="27"/>
        <v>5.9811283254568359E-2</v>
      </c>
      <c r="W70" s="2"/>
      <c r="X70" s="6">
        <f t="shared" si="28"/>
        <v>36167.953409389011</v>
      </c>
      <c r="Y70" s="2"/>
      <c r="Z70" s="7">
        <f t="shared" si="29"/>
        <v>0.1184005670096165</v>
      </c>
    </row>
    <row r="71" spans="1:26" s="24" customFormat="1" hidden="1" outlineLevel="2" x14ac:dyDescent="0.3">
      <c r="A71" s="29"/>
      <c r="B71" s="11" t="str">
        <f>CONCATENATE("          ", "6003", " - ", "STAFF HOURLY-9 MONTH")</f>
        <v xml:space="preserve">          6003 - STAFF HOURLY-9 MONTH</v>
      </c>
      <c r="C71" s="11"/>
      <c r="D71" s="6"/>
      <c r="E71" s="2"/>
      <c r="F71" s="7">
        <f t="shared" si="22"/>
        <v>0</v>
      </c>
      <c r="G71" s="2"/>
      <c r="H71" s="6">
        <v>0</v>
      </c>
      <c r="I71" s="2"/>
      <c r="J71" s="7">
        <f t="shared" si="23"/>
        <v>0</v>
      </c>
      <c r="K71" s="2"/>
      <c r="L71" s="6">
        <f t="shared" si="24"/>
        <v>0</v>
      </c>
      <c r="M71" s="2"/>
      <c r="N71" s="7">
        <f t="shared" si="25"/>
        <v>0</v>
      </c>
      <c r="O71" s="11"/>
      <c r="P71" s="6"/>
      <c r="Q71" s="2"/>
      <c r="R71" s="7">
        <f t="shared" si="26"/>
        <v>0</v>
      </c>
      <c r="S71" s="2"/>
      <c r="T71" s="6">
        <v>0</v>
      </c>
      <c r="U71" s="2"/>
      <c r="V71" s="7">
        <f t="shared" si="27"/>
        <v>0</v>
      </c>
      <c r="W71" s="2"/>
      <c r="X71" s="6">
        <f t="shared" si="28"/>
        <v>0</v>
      </c>
      <c r="Y71" s="2"/>
      <c r="Z71" s="7">
        <f t="shared" si="29"/>
        <v>0</v>
      </c>
    </row>
    <row r="72" spans="1:26" s="24" customFormat="1" hidden="1" outlineLevel="2" x14ac:dyDescent="0.3">
      <c r="A72" s="29"/>
      <c r="B72" s="11" t="str">
        <f>CONCATENATE("          ", "6004", " - ", "STAFF HOURLY")</f>
        <v xml:space="preserve">          6004 - STAFF HOURLY</v>
      </c>
      <c r="C72" s="11"/>
      <c r="D72" s="6">
        <v>24932.65</v>
      </c>
      <c r="E72" s="2"/>
      <c r="F72" s="7">
        <f t="shared" si="22"/>
        <v>4.8820439103846779E-2</v>
      </c>
      <c r="G72" s="2"/>
      <c r="H72" s="6">
        <v>37762.039768000002</v>
      </c>
      <c r="I72" s="2"/>
      <c r="J72" s="7">
        <f t="shared" si="23"/>
        <v>8.6384908548121073E-2</v>
      </c>
      <c r="K72" s="2"/>
      <c r="L72" s="6">
        <f t="shared" si="24"/>
        <v>-12829.389768000001</v>
      </c>
      <c r="M72" s="2"/>
      <c r="N72" s="7">
        <f t="shared" si="25"/>
        <v>-0.3397430288941059</v>
      </c>
      <c r="O72" s="11"/>
      <c r="P72" s="6">
        <v>136013.17000000001</v>
      </c>
      <c r="Q72" s="2"/>
      <c r="R72" s="7">
        <f t="shared" si="26"/>
        <v>3.6391114686465428E-2</v>
      </c>
      <c r="S72" s="2"/>
      <c r="T72" s="6">
        <v>236284.14599200001</v>
      </c>
      <c r="U72" s="2"/>
      <c r="V72" s="7">
        <f t="shared" si="27"/>
        <v>4.6264465662825528E-2</v>
      </c>
      <c r="W72" s="2"/>
      <c r="X72" s="6">
        <f t="shared" si="28"/>
        <v>-100270.97599199999</v>
      </c>
      <c r="Y72" s="2"/>
      <c r="Z72" s="7">
        <f t="shared" si="29"/>
        <v>-0.42436607657711795</v>
      </c>
    </row>
    <row r="73" spans="1:26" s="24" customFormat="1" hidden="1" outlineLevel="2" x14ac:dyDescent="0.3">
      <c r="A73" s="29"/>
      <c r="B73" s="11" t="str">
        <f>CONCATENATE("          ", "6005", " - ", "TEMPORARY WAGES-HOURLY")</f>
        <v xml:space="preserve">          6005 - TEMPORARY WAGES-HOURLY</v>
      </c>
      <c r="C73" s="11"/>
      <c r="D73" s="6">
        <v>9155.69</v>
      </c>
      <c r="E73" s="2"/>
      <c r="F73" s="7">
        <f t="shared" si="22"/>
        <v>1.7927689439297421E-2</v>
      </c>
      <c r="G73" s="2"/>
      <c r="H73" s="6">
        <v>4198</v>
      </c>
      <c r="I73" s="2"/>
      <c r="J73" s="7">
        <f t="shared" si="23"/>
        <v>9.6033966468178165E-3</v>
      </c>
      <c r="K73" s="2"/>
      <c r="L73" s="6">
        <f t="shared" si="24"/>
        <v>4957.6900000000005</v>
      </c>
      <c r="M73" s="2"/>
      <c r="N73" s="7">
        <f t="shared" si="25"/>
        <v>1.1809647451167224</v>
      </c>
      <c r="O73" s="11"/>
      <c r="P73" s="6">
        <v>66052.39</v>
      </c>
      <c r="Q73" s="2"/>
      <c r="R73" s="7">
        <f t="shared" si="26"/>
        <v>1.7672701105379295E-2</v>
      </c>
      <c r="S73" s="2"/>
      <c r="T73" s="6">
        <v>22369</v>
      </c>
      <c r="U73" s="2"/>
      <c r="V73" s="7">
        <f t="shared" si="27"/>
        <v>4.3798530285090861E-3</v>
      </c>
      <c r="W73" s="2"/>
      <c r="X73" s="6">
        <f t="shared" si="28"/>
        <v>43683.39</v>
      </c>
      <c r="Y73" s="2"/>
      <c r="Z73" s="7">
        <f t="shared" si="29"/>
        <v>1.9528539496624793</v>
      </c>
    </row>
    <row r="74" spans="1:26" s="24" customFormat="1" hidden="1" outlineLevel="2" x14ac:dyDescent="0.3">
      <c r="A74" s="29"/>
      <c r="B74" s="11" t="str">
        <f>CONCATENATE("          ", "6006", " - ", "TEMPORARY PART TIME")</f>
        <v xml:space="preserve">          6006 - TEMPORARY PART TIME</v>
      </c>
      <c r="C74" s="11"/>
      <c r="D74" s="6"/>
      <c r="E74" s="2"/>
      <c r="F74" s="7">
        <f t="shared" si="22"/>
        <v>0</v>
      </c>
      <c r="G74" s="2"/>
      <c r="H74" s="6">
        <v>0</v>
      </c>
      <c r="I74" s="2"/>
      <c r="J74" s="7">
        <f t="shared" si="23"/>
        <v>0</v>
      </c>
      <c r="K74" s="2"/>
      <c r="L74" s="6">
        <f t="shared" si="24"/>
        <v>0</v>
      </c>
      <c r="M74" s="2"/>
      <c r="N74" s="7">
        <f t="shared" si="25"/>
        <v>0</v>
      </c>
      <c r="O74" s="11"/>
      <c r="P74" s="6">
        <v>9877.6200000000008</v>
      </c>
      <c r="Q74" s="2"/>
      <c r="R74" s="7">
        <f t="shared" si="26"/>
        <v>2.6428146792646964E-3</v>
      </c>
      <c r="S74" s="2"/>
      <c r="T74" s="6">
        <v>0</v>
      </c>
      <c r="U74" s="2"/>
      <c r="V74" s="7">
        <f t="shared" si="27"/>
        <v>0</v>
      </c>
      <c r="W74" s="2"/>
      <c r="X74" s="6">
        <f t="shared" si="28"/>
        <v>9877.6200000000008</v>
      </c>
      <c r="Y74" s="2"/>
      <c r="Z74" s="7">
        <f t="shared" si="29"/>
        <v>0</v>
      </c>
    </row>
    <row r="75" spans="1:26" s="24" customFormat="1" hidden="1" outlineLevel="2" x14ac:dyDescent="0.3">
      <c r="A75" s="29"/>
      <c r="B75" s="11" t="str">
        <f>CONCATENATE("          ", "6007", " - ", "STUDENT HOURLY")</f>
        <v xml:space="preserve">          6007 - STUDENT HOURLY</v>
      </c>
      <c r="C75" s="11"/>
      <c r="D75" s="6">
        <v>58321.81</v>
      </c>
      <c r="E75" s="2"/>
      <c r="F75" s="7">
        <f t="shared" si="22"/>
        <v>0.11419950841692005</v>
      </c>
      <c r="G75" s="2"/>
      <c r="H75" s="6">
        <v>27936</v>
      </c>
      <c r="I75" s="2"/>
      <c r="J75" s="7">
        <f t="shared" si="23"/>
        <v>6.3906738619700462E-2</v>
      </c>
      <c r="K75" s="2"/>
      <c r="L75" s="6">
        <f t="shared" si="24"/>
        <v>30385.809999999998</v>
      </c>
      <c r="M75" s="2"/>
      <c r="N75" s="7">
        <f t="shared" si="25"/>
        <v>1.0876936569301259</v>
      </c>
      <c r="O75" s="11"/>
      <c r="P75" s="6">
        <v>340558.1</v>
      </c>
      <c r="Q75" s="2"/>
      <c r="R75" s="7">
        <f t="shared" si="26"/>
        <v>9.1118300341832784E-2</v>
      </c>
      <c r="S75" s="2"/>
      <c r="T75" s="6">
        <v>214984.48</v>
      </c>
      <c r="U75" s="2"/>
      <c r="V75" s="7">
        <f t="shared" si="27"/>
        <v>4.209398836829769E-2</v>
      </c>
      <c r="W75" s="2"/>
      <c r="X75" s="6">
        <f t="shared" si="28"/>
        <v>125573.61999999997</v>
      </c>
      <c r="Y75" s="2"/>
      <c r="Z75" s="7">
        <f t="shared" si="29"/>
        <v>0.58410551310494585</v>
      </c>
    </row>
    <row r="76" spans="1:26" s="24" customFormat="1" hidden="1" outlineLevel="2" x14ac:dyDescent="0.3">
      <c r="A76" s="29"/>
      <c r="B76" s="11" t="str">
        <f>CONCATENATE("          ", "6008", " - ", "STUDENT HOURLY-FICA EXEMPT")</f>
        <v xml:space="preserve">          6008 - STUDENT HOURLY-FICA EXEMPT</v>
      </c>
      <c r="C76" s="11"/>
      <c r="D76" s="6">
        <v>6586.67</v>
      </c>
      <c r="E76" s="2"/>
      <c r="F76" s="7">
        <f t="shared" si="22"/>
        <v>1.2897310219015405E-2</v>
      </c>
      <c r="G76" s="2"/>
      <c r="H76" s="6">
        <v>48175.035000000003</v>
      </c>
      <c r="I76" s="2"/>
      <c r="J76" s="7">
        <f t="shared" si="23"/>
        <v>0.11020580504510029</v>
      </c>
      <c r="K76" s="2"/>
      <c r="L76" s="6">
        <f t="shared" si="24"/>
        <v>-41588.365000000005</v>
      </c>
      <c r="M76" s="2"/>
      <c r="N76" s="7">
        <f t="shared" si="25"/>
        <v>-0.86327627992382361</v>
      </c>
      <c r="O76" s="11"/>
      <c r="P76" s="6">
        <v>57292.34</v>
      </c>
      <c r="Q76" s="2"/>
      <c r="R76" s="7">
        <f t="shared" si="26"/>
        <v>1.5328898779404748E-2</v>
      </c>
      <c r="S76" s="2"/>
      <c r="T76" s="6">
        <v>301127.85499999998</v>
      </c>
      <c r="U76" s="2"/>
      <c r="V76" s="7">
        <f t="shared" si="27"/>
        <v>5.896087208593119E-2</v>
      </c>
      <c r="W76" s="2"/>
      <c r="X76" s="6">
        <f t="shared" si="28"/>
        <v>-243835.51499999998</v>
      </c>
      <c r="Y76" s="2"/>
      <c r="Z76" s="7">
        <f t="shared" si="29"/>
        <v>-0.80974081590691771</v>
      </c>
    </row>
    <row r="77" spans="1:26" s="24" customFormat="1" hidden="1" outlineLevel="2" x14ac:dyDescent="0.3">
      <c r="A77" s="29"/>
      <c r="B77" s="11" t="str">
        <f>CONCATENATE("          ", "6009", " - ", "TEMPORARY-SEASONAL")</f>
        <v xml:space="preserve">          6009 - TEMPORARY-SEASONAL</v>
      </c>
      <c r="C77" s="11"/>
      <c r="D77" s="6"/>
      <c r="E77" s="2"/>
      <c r="F77" s="7">
        <f t="shared" si="22"/>
        <v>0</v>
      </c>
      <c r="G77" s="2"/>
      <c r="H77" s="6">
        <v>0</v>
      </c>
      <c r="I77" s="2"/>
      <c r="J77" s="7">
        <f t="shared" si="23"/>
        <v>0</v>
      </c>
      <c r="K77" s="2"/>
      <c r="L77" s="6">
        <f t="shared" si="24"/>
        <v>0</v>
      </c>
      <c r="M77" s="2"/>
      <c r="N77" s="7">
        <f t="shared" si="25"/>
        <v>0</v>
      </c>
      <c r="O77" s="11"/>
      <c r="P77" s="6"/>
      <c r="Q77" s="2"/>
      <c r="R77" s="7">
        <f t="shared" si="26"/>
        <v>0</v>
      </c>
      <c r="S77" s="2"/>
      <c r="T77" s="6">
        <v>0</v>
      </c>
      <c r="U77" s="2"/>
      <c r="V77" s="7">
        <f t="shared" si="27"/>
        <v>0</v>
      </c>
      <c r="W77" s="2"/>
      <c r="X77" s="6">
        <f t="shared" si="28"/>
        <v>0</v>
      </c>
      <c r="Y77" s="2"/>
      <c r="Z77" s="7">
        <f t="shared" si="29"/>
        <v>0</v>
      </c>
    </row>
    <row r="78" spans="1:26" s="24" customFormat="1" hidden="1" outlineLevel="2" x14ac:dyDescent="0.3">
      <c r="A78" s="29"/>
      <c r="B78" s="11" t="str">
        <f>CONCATENATE("          ", "6010", " - ", "GRATUITY")</f>
        <v xml:space="preserve">          6010 - GRATUITY</v>
      </c>
      <c r="C78" s="11"/>
      <c r="D78" s="6"/>
      <c r="E78" s="2"/>
      <c r="F78" s="7">
        <f t="shared" si="22"/>
        <v>0</v>
      </c>
      <c r="G78" s="2"/>
      <c r="H78" s="6">
        <v>0</v>
      </c>
      <c r="I78" s="2"/>
      <c r="J78" s="7">
        <f t="shared" si="23"/>
        <v>0</v>
      </c>
      <c r="K78" s="2"/>
      <c r="L78" s="6">
        <f t="shared" si="24"/>
        <v>0</v>
      </c>
      <c r="M78" s="2"/>
      <c r="N78" s="7">
        <f t="shared" si="25"/>
        <v>0</v>
      </c>
      <c r="O78" s="11"/>
      <c r="P78" s="6"/>
      <c r="Q78" s="2"/>
      <c r="R78" s="7">
        <f t="shared" si="26"/>
        <v>0</v>
      </c>
      <c r="S78" s="2"/>
      <c r="T78" s="6">
        <v>0</v>
      </c>
      <c r="U78" s="2"/>
      <c r="V78" s="7">
        <f t="shared" si="27"/>
        <v>0</v>
      </c>
      <c r="W78" s="2"/>
      <c r="X78" s="6">
        <f t="shared" si="28"/>
        <v>0</v>
      </c>
      <c r="Y78" s="2"/>
      <c r="Z78" s="7">
        <f t="shared" si="29"/>
        <v>0</v>
      </c>
    </row>
    <row r="79" spans="1:26" s="28" customFormat="1" outlineLevel="1" collapsed="1" x14ac:dyDescent="0.3">
      <c r="A79" s="27"/>
      <c r="B79" s="14" t="str">
        <f>CONCATENATE("     ","Advertising/Promo                                 ")</f>
        <v xml:space="preserve">     Advertising/Promo                                 </v>
      </c>
      <c r="C79" s="14"/>
      <c r="D79" s="1">
        <f>SUM(OSRRefD22_2x_0)</f>
        <v>722.3</v>
      </c>
      <c r="E79" s="1"/>
      <c r="F79" s="5">
        <f t="shared" ref="F79:F87" si="30">IF(D$12=0,0,D79/D$12)</f>
        <v>1.414330332504107E-3</v>
      </c>
      <c r="G79" s="1"/>
      <c r="H79" s="1">
        <f>SUM(OSRRefH22_2x_0)</f>
        <v>400</v>
      </c>
      <c r="I79" s="1"/>
      <c r="J79" s="5">
        <f t="shared" ref="J79:J87" si="31">IF(H$12=0,0,H79/H$12)</f>
        <v>9.150449401446228E-4</v>
      </c>
      <c r="K79" s="1"/>
      <c r="L79" s="1">
        <f t="shared" ref="L79:L87" si="32">+D79-H79</f>
        <v>322.29999999999995</v>
      </c>
      <c r="M79" s="1"/>
      <c r="N79" s="5">
        <f t="shared" ref="N79:N87" si="33">IF(H79=0,0,L79/H79)</f>
        <v>0.80574999999999986</v>
      </c>
      <c r="O79" s="14"/>
      <c r="P79" s="1">
        <f>SUM(OSRRefP22_2x_0)</f>
        <v>5646.21</v>
      </c>
      <c r="Q79" s="1"/>
      <c r="R79" s="5">
        <f t="shared" ref="R79:R87" si="34">IF(P$12=0,0,P79/P$12)</f>
        <v>1.5106763238726657E-3</v>
      </c>
      <c r="S79" s="1"/>
      <c r="T79" s="1">
        <f>SUM(OSRRefT22_2x_0)</f>
        <v>4900</v>
      </c>
      <c r="U79" s="1"/>
      <c r="V79" s="5">
        <f t="shared" ref="V79:V87" si="35">IF(T$12=0,0,T79/T$12)</f>
        <v>9.5942061959383609E-4</v>
      </c>
      <c r="W79" s="1"/>
      <c r="X79" s="1">
        <f t="shared" ref="X79:X87" si="36">+P79-T79</f>
        <v>746.21</v>
      </c>
      <c r="Y79" s="1"/>
      <c r="Z79" s="5">
        <f t="shared" ref="Z79:Z87" si="37">IF(T79=0,0,X79/T79)</f>
        <v>0.15228775510204082</v>
      </c>
    </row>
    <row r="80" spans="1:26" s="24" customFormat="1" hidden="1" outlineLevel="2" x14ac:dyDescent="0.3">
      <c r="A80" s="29"/>
      <c r="B80" s="11" t="str">
        <f>CONCATENATE("          ", "6362", " - ", "ADVERTISING EXPENSE")</f>
        <v xml:space="preserve">          6362 - ADVERTISING EXPENSE</v>
      </c>
      <c r="C80" s="11"/>
      <c r="D80" s="6">
        <v>722.3</v>
      </c>
      <c r="E80" s="2"/>
      <c r="F80" s="7">
        <f t="shared" si="30"/>
        <v>1.414330332504107E-3</v>
      </c>
      <c r="G80" s="2"/>
      <c r="H80" s="6">
        <v>400</v>
      </c>
      <c r="I80" s="2"/>
      <c r="J80" s="7">
        <f t="shared" si="31"/>
        <v>9.150449401446228E-4</v>
      </c>
      <c r="K80" s="2"/>
      <c r="L80" s="6">
        <f t="shared" si="32"/>
        <v>322.29999999999995</v>
      </c>
      <c r="M80" s="2"/>
      <c r="N80" s="7">
        <f t="shared" si="33"/>
        <v>0.80574999999999986</v>
      </c>
      <c r="O80" s="11"/>
      <c r="P80" s="6">
        <v>5646.21</v>
      </c>
      <c r="Q80" s="2"/>
      <c r="R80" s="7">
        <f t="shared" si="34"/>
        <v>1.5106763238726657E-3</v>
      </c>
      <c r="S80" s="2"/>
      <c r="T80" s="6">
        <v>4900</v>
      </c>
      <c r="U80" s="2"/>
      <c r="V80" s="7">
        <f t="shared" si="35"/>
        <v>9.5942061959383609E-4</v>
      </c>
      <c r="W80" s="2"/>
      <c r="X80" s="6">
        <f t="shared" si="36"/>
        <v>746.21</v>
      </c>
      <c r="Y80" s="2"/>
      <c r="Z80" s="7">
        <f t="shared" si="37"/>
        <v>0.15228775510204082</v>
      </c>
    </row>
    <row r="81" spans="1:26" s="28" customFormat="1" outlineLevel="1" collapsed="1" x14ac:dyDescent="0.3">
      <c r="A81" s="27"/>
      <c r="B81" s="14" t="str">
        <f>CONCATENATE("     ","Bad Debts/Over/Short                              ")</f>
        <v xml:space="preserve">     Bad Debts/Over/Short                              </v>
      </c>
      <c r="C81" s="14"/>
      <c r="D81" s="1">
        <f>SUM(OSRRefD22_3x_0)</f>
        <v>-5.0599999999999996</v>
      </c>
      <c r="E81" s="1"/>
      <c r="F81" s="5">
        <f t="shared" si="30"/>
        <v>-9.9079488889253504E-6</v>
      </c>
      <c r="G81" s="1"/>
      <c r="H81" s="1">
        <f>SUM(OSRRefH22_3x_0)</f>
        <v>235</v>
      </c>
      <c r="I81" s="1"/>
      <c r="J81" s="5">
        <f t="shared" si="31"/>
        <v>5.3758890233496595E-4</v>
      </c>
      <c r="K81" s="1"/>
      <c r="L81" s="1">
        <f t="shared" si="32"/>
        <v>-240.06</v>
      </c>
      <c r="M81" s="1"/>
      <c r="N81" s="5">
        <f t="shared" si="33"/>
        <v>-1.0215319148936171</v>
      </c>
      <c r="O81" s="14"/>
      <c r="P81" s="1">
        <f>SUM(OSRRefP22_3x_0)</f>
        <v>181.9</v>
      </c>
      <c r="Q81" s="1"/>
      <c r="R81" s="5">
        <f t="shared" si="34"/>
        <v>4.8668402930893094E-5</v>
      </c>
      <c r="S81" s="1"/>
      <c r="T81" s="1">
        <f>SUM(OSRRefT22_3x_0)</f>
        <v>1410</v>
      </c>
      <c r="U81" s="1"/>
      <c r="V81" s="5">
        <f t="shared" si="35"/>
        <v>2.7607817829128752E-4</v>
      </c>
      <c r="W81" s="1"/>
      <c r="X81" s="1">
        <f t="shared" si="36"/>
        <v>-1228.0999999999999</v>
      </c>
      <c r="Y81" s="1"/>
      <c r="Z81" s="5">
        <f t="shared" si="37"/>
        <v>-0.87099290780141836</v>
      </c>
    </row>
    <row r="82" spans="1:26" s="24" customFormat="1" hidden="1" outlineLevel="2" x14ac:dyDescent="0.3">
      <c r="A82" s="29"/>
      <c r="B82" s="11" t="str">
        <f>CONCATENATE("          ", "6272", " - ", "CASH (OVER/SHORT)")</f>
        <v xml:space="preserve">          6272 - CASH (OVER/SHORT)</v>
      </c>
      <c r="C82" s="11"/>
      <c r="D82" s="6">
        <v>-5.0599999999999996</v>
      </c>
      <c r="E82" s="2"/>
      <c r="F82" s="7">
        <f t="shared" si="30"/>
        <v>-9.9079488889253504E-6</v>
      </c>
      <c r="G82" s="2"/>
      <c r="H82" s="6">
        <v>235</v>
      </c>
      <c r="I82" s="2"/>
      <c r="J82" s="7">
        <f t="shared" si="31"/>
        <v>5.3758890233496595E-4</v>
      </c>
      <c r="K82" s="2"/>
      <c r="L82" s="6">
        <f t="shared" si="32"/>
        <v>-240.06</v>
      </c>
      <c r="M82" s="2"/>
      <c r="N82" s="7">
        <f t="shared" si="33"/>
        <v>-1.0215319148936171</v>
      </c>
      <c r="O82" s="11"/>
      <c r="P82" s="6">
        <v>181.9</v>
      </c>
      <c r="Q82" s="2"/>
      <c r="R82" s="7">
        <f t="shared" si="34"/>
        <v>4.8668402930893094E-5</v>
      </c>
      <c r="S82" s="2"/>
      <c r="T82" s="6">
        <v>1410</v>
      </c>
      <c r="U82" s="2"/>
      <c r="V82" s="7">
        <f t="shared" si="35"/>
        <v>2.7607817829128752E-4</v>
      </c>
      <c r="W82" s="2"/>
      <c r="X82" s="6">
        <f t="shared" si="36"/>
        <v>-1228.0999999999999</v>
      </c>
      <c r="Y82" s="2"/>
      <c r="Z82" s="7">
        <f t="shared" si="37"/>
        <v>-0.87099290780141836</v>
      </c>
    </row>
    <row r="83" spans="1:26" s="28" customFormat="1" outlineLevel="1" collapsed="1" x14ac:dyDescent="0.3">
      <c r="A83" s="27"/>
      <c r="B83" s="14" t="str">
        <f>CONCATENATE("     ","Bank/card Fees                                    ")</f>
        <v xml:space="preserve">     Bank/card Fees                                    </v>
      </c>
      <c r="C83" s="14"/>
      <c r="D83" s="1">
        <f>SUM(OSRRefD22_4x_0)</f>
        <v>9758.82</v>
      </c>
      <c r="E83" s="1"/>
      <c r="F83" s="5">
        <f t="shared" si="30"/>
        <v>1.9108673868818676E-2</v>
      </c>
      <c r="G83" s="1"/>
      <c r="H83" s="1">
        <f>SUM(OSRRefH22_4x_0)</f>
        <v>9352</v>
      </c>
      <c r="I83" s="1"/>
      <c r="J83" s="5">
        <f t="shared" si="31"/>
        <v>2.1393750700581284E-2</v>
      </c>
      <c r="K83" s="1"/>
      <c r="L83" s="1">
        <f t="shared" si="32"/>
        <v>406.81999999999971</v>
      </c>
      <c r="M83" s="1"/>
      <c r="N83" s="5">
        <f t="shared" si="33"/>
        <v>4.3500855431993127E-2</v>
      </c>
      <c r="O83" s="14"/>
      <c r="P83" s="1">
        <f>SUM(OSRRefP22_4x_0)</f>
        <v>71336.58</v>
      </c>
      <c r="Q83" s="1"/>
      <c r="R83" s="5">
        <f t="shared" si="34"/>
        <v>1.9086516872742661E-2</v>
      </c>
      <c r="S83" s="1"/>
      <c r="T83" s="1">
        <f>SUM(OSRRefT22_4x_0)</f>
        <v>107461.75</v>
      </c>
      <c r="U83" s="1"/>
      <c r="V83" s="5">
        <f t="shared" si="35"/>
        <v>2.1041024238293453E-2</v>
      </c>
      <c r="W83" s="1"/>
      <c r="X83" s="1">
        <f t="shared" si="36"/>
        <v>-36125.17</v>
      </c>
      <c r="Y83" s="1"/>
      <c r="Z83" s="5">
        <f t="shared" si="37"/>
        <v>-0.33616770618382819</v>
      </c>
    </row>
    <row r="84" spans="1:26" s="24" customFormat="1" hidden="1" outlineLevel="2" x14ac:dyDescent="0.3">
      <c r="A84" s="29"/>
      <c r="B84" s="11" t="str">
        <f>CONCATENATE("          ", "6381", " - ", "BANK/CREDIT CARD FEES")</f>
        <v xml:space="preserve">          6381 - BANK/CREDIT CARD FEES</v>
      </c>
      <c r="C84" s="11"/>
      <c r="D84" s="6">
        <v>9758.82</v>
      </c>
      <c r="E84" s="2"/>
      <c r="F84" s="7">
        <f t="shared" si="30"/>
        <v>1.9108673868818676E-2</v>
      </c>
      <c r="G84" s="2"/>
      <c r="H84" s="6">
        <v>9352</v>
      </c>
      <c r="I84" s="2"/>
      <c r="J84" s="7">
        <f t="shared" si="31"/>
        <v>2.1393750700581284E-2</v>
      </c>
      <c r="K84" s="2"/>
      <c r="L84" s="6">
        <f t="shared" si="32"/>
        <v>406.81999999999971</v>
      </c>
      <c r="M84" s="2"/>
      <c r="N84" s="7">
        <f t="shared" si="33"/>
        <v>4.3500855431993127E-2</v>
      </c>
      <c r="O84" s="11"/>
      <c r="P84" s="6">
        <v>71336.58</v>
      </c>
      <c r="Q84" s="2"/>
      <c r="R84" s="7">
        <f t="shared" si="34"/>
        <v>1.9086516872742661E-2</v>
      </c>
      <c r="S84" s="2"/>
      <c r="T84" s="6">
        <v>107461.75</v>
      </c>
      <c r="U84" s="2"/>
      <c r="V84" s="7">
        <f t="shared" si="35"/>
        <v>2.1041024238293453E-2</v>
      </c>
      <c r="W84" s="2"/>
      <c r="X84" s="6">
        <f t="shared" si="36"/>
        <v>-36125.17</v>
      </c>
      <c r="Y84" s="2"/>
      <c r="Z84" s="7">
        <f t="shared" si="37"/>
        <v>-0.33616770618382819</v>
      </c>
    </row>
    <row r="85" spans="1:26" s="28" customFormat="1" outlineLevel="1" collapsed="1" x14ac:dyDescent="0.3">
      <c r="A85" s="27"/>
      <c r="B85" s="14" t="str">
        <f>CONCATENATE("     ","Depreciation                                      ")</f>
        <v xml:space="preserve">     Depreciation                                      </v>
      </c>
      <c r="C85" s="14"/>
      <c r="D85" s="1">
        <f>SUM(OSRRefD22_5x_0)</f>
        <v>36939.589999999997</v>
      </c>
      <c r="E85" s="1"/>
      <c r="F85" s="5">
        <f t="shared" si="30"/>
        <v>7.2331140256493676E-2</v>
      </c>
      <c r="G85" s="1"/>
      <c r="H85" s="1">
        <f>SUM(OSRRefH22_5x_0)</f>
        <v>36818</v>
      </c>
      <c r="I85" s="1"/>
      <c r="J85" s="5">
        <f t="shared" si="31"/>
        <v>8.4225311515611814E-2</v>
      </c>
      <c r="K85" s="1"/>
      <c r="L85" s="1">
        <f t="shared" si="32"/>
        <v>121.58999999999651</v>
      </c>
      <c r="M85" s="1"/>
      <c r="N85" s="5">
        <f t="shared" si="33"/>
        <v>3.3024607528925119E-3</v>
      </c>
      <c r="O85" s="14"/>
      <c r="P85" s="1">
        <f>SUM(OSRRefP22_5x_0)</f>
        <v>224387.45</v>
      </c>
      <c r="Q85" s="1"/>
      <c r="R85" s="5">
        <f t="shared" si="34"/>
        <v>6.0036167285517472E-2</v>
      </c>
      <c r="S85" s="1"/>
      <c r="T85" s="1">
        <f>SUM(OSRRefT22_5x_0)</f>
        <v>223655</v>
      </c>
      <c r="U85" s="1"/>
      <c r="V85" s="5">
        <f t="shared" si="35"/>
        <v>4.3791677280665187E-2</v>
      </c>
      <c r="W85" s="1"/>
      <c r="X85" s="1">
        <f t="shared" si="36"/>
        <v>732.45000000001164</v>
      </c>
      <c r="Y85" s="1"/>
      <c r="Z85" s="5">
        <f t="shared" si="37"/>
        <v>3.2749100176611818E-3</v>
      </c>
    </row>
    <row r="86" spans="1:26" s="24" customFormat="1" hidden="1" outlineLevel="2" x14ac:dyDescent="0.3">
      <c r="A86" s="29"/>
      <c r="B86" s="11" t="str">
        <f>CONCATENATE("          ", "6321", " - ", "BUILDING DEPRECIATION")</f>
        <v xml:space="preserve">          6321 - BUILDING DEPRECIATION</v>
      </c>
      <c r="C86" s="11"/>
      <c r="D86" s="6">
        <v>21477.02</v>
      </c>
      <c r="E86" s="2"/>
      <c r="F86" s="7">
        <f t="shared" si="30"/>
        <v>4.2053995345143785E-2</v>
      </c>
      <c r="G86" s="2"/>
      <c r="H86" s="6"/>
      <c r="I86" s="2"/>
      <c r="J86" s="7">
        <f t="shared" si="31"/>
        <v>0</v>
      </c>
      <c r="K86" s="2"/>
      <c r="L86" s="6">
        <f t="shared" si="32"/>
        <v>21477.02</v>
      </c>
      <c r="M86" s="2"/>
      <c r="N86" s="7">
        <f t="shared" si="33"/>
        <v>0</v>
      </c>
      <c r="O86" s="11"/>
      <c r="P86" s="6">
        <v>128862.17</v>
      </c>
      <c r="Q86" s="2"/>
      <c r="R86" s="7">
        <f t="shared" si="34"/>
        <v>3.4477823046230038E-2</v>
      </c>
      <c r="S86" s="2"/>
      <c r="T86" s="6"/>
      <c r="U86" s="2"/>
      <c r="V86" s="7">
        <f t="shared" si="35"/>
        <v>0</v>
      </c>
      <c r="W86" s="2"/>
      <c r="X86" s="6">
        <f t="shared" si="36"/>
        <v>128862.17</v>
      </c>
      <c r="Y86" s="2"/>
      <c r="Z86" s="7">
        <f t="shared" si="37"/>
        <v>0</v>
      </c>
    </row>
    <row r="87" spans="1:26" s="24" customFormat="1" hidden="1" outlineLevel="2" x14ac:dyDescent="0.3">
      <c r="A87" s="29"/>
      <c r="B87" s="11" t="str">
        <f>CONCATENATE("          ", "6322", " - ", "EQUIPMENT DEPRECIATION EXPENSE")</f>
        <v xml:space="preserve">          6322 - EQUIPMENT DEPRECIATION EXPENSE</v>
      </c>
      <c r="C87" s="11"/>
      <c r="D87" s="6">
        <v>15462.57</v>
      </c>
      <c r="E87" s="2"/>
      <c r="F87" s="7">
        <f t="shared" si="30"/>
        <v>3.0277144911349897E-2</v>
      </c>
      <c r="G87" s="2"/>
      <c r="H87" s="6">
        <v>36818</v>
      </c>
      <c r="I87" s="2"/>
      <c r="J87" s="7">
        <f t="shared" si="31"/>
        <v>8.4225311515611814E-2</v>
      </c>
      <c r="K87" s="2"/>
      <c r="L87" s="6">
        <f t="shared" si="32"/>
        <v>-21355.43</v>
      </c>
      <c r="M87" s="2"/>
      <c r="N87" s="7">
        <f t="shared" si="33"/>
        <v>-0.58002688902167421</v>
      </c>
      <c r="O87" s="11"/>
      <c r="P87" s="6">
        <v>95525.28</v>
      </c>
      <c r="Q87" s="2"/>
      <c r="R87" s="7">
        <f t="shared" si="34"/>
        <v>2.555834423928743E-2</v>
      </c>
      <c r="S87" s="2"/>
      <c r="T87" s="6">
        <v>223655</v>
      </c>
      <c r="U87" s="2"/>
      <c r="V87" s="7">
        <f t="shared" si="35"/>
        <v>4.3791677280665187E-2</v>
      </c>
      <c r="W87" s="2"/>
      <c r="X87" s="6">
        <f t="shared" si="36"/>
        <v>-128129.72</v>
      </c>
      <c r="Y87" s="2"/>
      <c r="Z87" s="7">
        <f t="shared" si="37"/>
        <v>-0.57289003152176343</v>
      </c>
    </row>
    <row r="88" spans="1:26" s="28" customFormat="1" outlineLevel="1" collapsed="1" x14ac:dyDescent="0.3">
      <c r="A88" s="27"/>
      <c r="B88" s="14" t="str">
        <f>CONCATENATE("     ","Discounts and Markdowns                           ")</f>
        <v xml:space="preserve">     Discounts and Markdowns                           </v>
      </c>
      <c r="C88" s="14"/>
      <c r="D88" s="1">
        <f>SUM(OSRRefD22_6x_0)</f>
        <v>11.17</v>
      </c>
      <c r="E88" s="1"/>
      <c r="F88" s="5">
        <f t="shared" ref="F88:F90" si="38">IF(D$12=0,0,D88/D$12)</f>
        <v>2.1871895076936005E-5</v>
      </c>
      <c r="G88" s="1"/>
      <c r="H88" s="1">
        <f>SUM(OSRRefH22_6x_0)</f>
        <v>0</v>
      </c>
      <c r="I88" s="1"/>
      <c r="J88" s="5">
        <f t="shared" ref="J88:J90" si="39">IF(H$12=0,0,H88/H$12)</f>
        <v>0</v>
      </c>
      <c r="K88" s="1"/>
      <c r="L88" s="1">
        <f t="shared" ref="L88:L90" si="40">+D88-H88</f>
        <v>11.17</v>
      </c>
      <c r="M88" s="1"/>
      <c r="N88" s="5">
        <f t="shared" ref="N88:N90" si="41">IF(H88=0,0,L88/H88)</f>
        <v>0</v>
      </c>
      <c r="O88" s="14"/>
      <c r="P88" s="1">
        <f>SUM(OSRRefP22_6x_0)</f>
        <v>3354.8</v>
      </c>
      <c r="Q88" s="1"/>
      <c r="R88" s="5">
        <f t="shared" ref="R88:R90" si="42">IF(P$12=0,0,P88/P$12)</f>
        <v>8.9759625152589426E-4</v>
      </c>
      <c r="S88" s="1"/>
      <c r="T88" s="1">
        <f>SUM(OSRRefT22_6x_0)</f>
        <v>0</v>
      </c>
      <c r="U88" s="1"/>
      <c r="V88" s="5">
        <f t="shared" ref="V88:V90" si="43">IF(T$12=0,0,T88/T$12)</f>
        <v>0</v>
      </c>
      <c r="W88" s="1"/>
      <c r="X88" s="1">
        <f t="shared" ref="X88:X90" si="44">+P88-T88</f>
        <v>3354.8</v>
      </c>
      <c r="Y88" s="1"/>
      <c r="Z88" s="5">
        <f t="shared" ref="Z88:Z90" si="45">IF(T88=0,0,X88/T88)</f>
        <v>0</v>
      </c>
    </row>
    <row r="89" spans="1:26" s="24" customFormat="1" hidden="1" outlineLevel="2" x14ac:dyDescent="0.3">
      <c r="A89" s="29"/>
      <c r="B89" s="11" t="str">
        <f>CONCATENATE("          ", "6382", " - ", "DISCOUNTS/MARK DOWNS")</f>
        <v xml:space="preserve">          6382 - DISCOUNTS/MARK DOWNS</v>
      </c>
      <c r="C89" s="11"/>
      <c r="D89" s="6"/>
      <c r="E89" s="2"/>
      <c r="F89" s="7">
        <f t="shared" si="38"/>
        <v>0</v>
      </c>
      <c r="G89" s="2"/>
      <c r="H89" s="6"/>
      <c r="I89" s="2"/>
      <c r="J89" s="7">
        <f t="shared" si="39"/>
        <v>0</v>
      </c>
      <c r="K89" s="2"/>
      <c r="L89" s="6">
        <f t="shared" si="40"/>
        <v>0</v>
      </c>
      <c r="M89" s="2"/>
      <c r="N89" s="7">
        <f t="shared" si="41"/>
        <v>0</v>
      </c>
      <c r="O89" s="11"/>
      <c r="P89" s="6">
        <v>3410</v>
      </c>
      <c r="Q89" s="2"/>
      <c r="R89" s="7">
        <f t="shared" si="42"/>
        <v>9.1236533256924379E-4</v>
      </c>
      <c r="S89" s="2"/>
      <c r="T89" s="6">
        <v>0</v>
      </c>
      <c r="U89" s="2"/>
      <c r="V89" s="7">
        <f t="shared" si="43"/>
        <v>0</v>
      </c>
      <c r="W89" s="2"/>
      <c r="X89" s="6">
        <f t="shared" si="44"/>
        <v>3410</v>
      </c>
      <c r="Y89" s="2"/>
      <c r="Z89" s="7">
        <f t="shared" si="45"/>
        <v>0</v>
      </c>
    </row>
    <row r="90" spans="1:26" s="24" customFormat="1" hidden="1" outlineLevel="2" x14ac:dyDescent="0.3">
      <c r="A90" s="29"/>
      <c r="B90" s="11" t="str">
        <f>CONCATENATE("          ", "9175", " - ", "EARNED DISCOUNTS")</f>
        <v xml:space="preserve">          9175 - EARNED DISCOUNTS</v>
      </c>
      <c r="C90" s="11"/>
      <c r="D90" s="6">
        <v>11.17</v>
      </c>
      <c r="E90" s="2"/>
      <c r="F90" s="7">
        <f t="shared" si="38"/>
        <v>2.1871895076936005E-5</v>
      </c>
      <c r="G90" s="2"/>
      <c r="H90" s="6"/>
      <c r="I90" s="2"/>
      <c r="J90" s="7">
        <f t="shared" si="39"/>
        <v>0</v>
      </c>
      <c r="K90" s="2"/>
      <c r="L90" s="6">
        <f t="shared" si="40"/>
        <v>11.17</v>
      </c>
      <c r="M90" s="2"/>
      <c r="N90" s="7">
        <f t="shared" si="41"/>
        <v>0</v>
      </c>
      <c r="O90" s="11"/>
      <c r="P90" s="6">
        <v>-55.2</v>
      </c>
      <c r="Q90" s="2"/>
      <c r="R90" s="7">
        <f t="shared" si="42"/>
        <v>-1.4769081043349637E-5</v>
      </c>
      <c r="S90" s="2"/>
      <c r="T90" s="6"/>
      <c r="U90" s="2"/>
      <c r="V90" s="7">
        <f t="shared" si="43"/>
        <v>0</v>
      </c>
      <c r="W90" s="2"/>
      <c r="X90" s="6">
        <f t="shared" si="44"/>
        <v>-55.2</v>
      </c>
      <c r="Y90" s="2"/>
      <c r="Z90" s="7">
        <f t="shared" si="45"/>
        <v>0</v>
      </c>
    </row>
    <row r="91" spans="1:26" s="28" customFormat="1" outlineLevel="1" collapsed="1" x14ac:dyDescent="0.3">
      <c r="A91" s="27"/>
      <c r="B91" s="14" t="str">
        <f>CONCATENATE("     ","Donations                                         ")</f>
        <v xml:space="preserve">     Donations                                         </v>
      </c>
      <c r="C91" s="14"/>
      <c r="D91" s="1">
        <f>SUM(OSRRefD22_7x_0)</f>
        <v>0</v>
      </c>
      <c r="E91" s="1"/>
      <c r="F91" s="5">
        <f t="shared" ref="F91:F99" si="46">IF(D$12=0,0,D91/D$12)</f>
        <v>0</v>
      </c>
      <c r="G91" s="1"/>
      <c r="H91" s="1">
        <f>SUM(OSRRefH22_7x_0)</f>
        <v>1250</v>
      </c>
      <c r="I91" s="1"/>
      <c r="J91" s="5">
        <f t="shared" ref="J91:J99" si="47">IF(H$12=0,0,H91/H$12)</f>
        <v>2.8595154379519464E-3</v>
      </c>
      <c r="K91" s="1"/>
      <c r="L91" s="1">
        <f t="shared" ref="L91:L99" si="48">+D91-H91</f>
        <v>-1250</v>
      </c>
      <c r="M91" s="1"/>
      <c r="N91" s="5">
        <f t="shared" ref="N91:N99" si="49">IF(H91=0,0,L91/H91)</f>
        <v>-1</v>
      </c>
      <c r="O91" s="14"/>
      <c r="P91" s="1">
        <f>SUM(OSRRefP22_7x_0)</f>
        <v>2820.22</v>
      </c>
      <c r="Q91" s="1"/>
      <c r="R91" s="5">
        <f t="shared" ref="R91:R99" si="50">IF(P$12=0,0,P91/P$12)</f>
        <v>7.5456626340716503E-4</v>
      </c>
      <c r="S91" s="1"/>
      <c r="T91" s="1">
        <f>SUM(OSRRefT22_7x_0)</f>
        <v>7500</v>
      </c>
      <c r="U91" s="1"/>
      <c r="V91" s="5">
        <f t="shared" ref="V91:V99" si="51">IF(T$12=0,0,T91/T$12)</f>
        <v>1.4685009483579124E-3</v>
      </c>
      <c r="W91" s="1"/>
      <c r="X91" s="1">
        <f t="shared" ref="X91:X99" si="52">+P91-T91</f>
        <v>-4679.7800000000007</v>
      </c>
      <c r="Y91" s="1"/>
      <c r="Z91" s="5">
        <f t="shared" ref="Z91:Z99" si="53">IF(T91=0,0,X91/T91)</f>
        <v>-0.62397066666666678</v>
      </c>
    </row>
    <row r="92" spans="1:26" s="24" customFormat="1" hidden="1" outlineLevel="2" x14ac:dyDescent="0.3">
      <c r="A92" s="29"/>
      <c r="B92" s="11" t="str">
        <f>CONCATENATE("          ", "6399", " - ", "DONATION-ON CAMPUS")</f>
        <v xml:space="preserve">          6399 - DONATION-ON CAMPUS</v>
      </c>
      <c r="C92" s="11"/>
      <c r="D92" s="6"/>
      <c r="E92" s="2"/>
      <c r="F92" s="7">
        <f t="shared" si="46"/>
        <v>0</v>
      </c>
      <c r="G92" s="2"/>
      <c r="H92" s="6">
        <v>1250</v>
      </c>
      <c r="I92" s="2"/>
      <c r="J92" s="7">
        <f t="shared" si="47"/>
        <v>2.8595154379519464E-3</v>
      </c>
      <c r="K92" s="2"/>
      <c r="L92" s="6">
        <f t="shared" si="48"/>
        <v>-1250</v>
      </c>
      <c r="M92" s="2"/>
      <c r="N92" s="7">
        <f t="shared" si="49"/>
        <v>-1</v>
      </c>
      <c r="O92" s="11"/>
      <c r="P92" s="6">
        <v>2820.22</v>
      </c>
      <c r="Q92" s="2"/>
      <c r="R92" s="7">
        <f t="shared" si="50"/>
        <v>7.5456626340716503E-4</v>
      </c>
      <c r="S92" s="2"/>
      <c r="T92" s="6">
        <v>7500</v>
      </c>
      <c r="U92" s="2"/>
      <c r="V92" s="7">
        <f t="shared" si="51"/>
        <v>1.4685009483579124E-3</v>
      </c>
      <c r="W92" s="2"/>
      <c r="X92" s="6">
        <f t="shared" si="52"/>
        <v>-4679.7800000000007</v>
      </c>
      <c r="Y92" s="2"/>
      <c r="Z92" s="7">
        <f t="shared" si="53"/>
        <v>-0.62397066666666678</v>
      </c>
    </row>
    <row r="93" spans="1:26" s="28" customFormat="1" outlineLevel="1" collapsed="1" x14ac:dyDescent="0.3">
      <c r="A93" s="27"/>
      <c r="B93" s="14" t="str">
        <f>CONCATENATE("     ","Employees' Appreciation                           ")</f>
        <v xml:space="preserve">     Employees' Appreciation                           </v>
      </c>
      <c r="C93" s="14"/>
      <c r="D93" s="1">
        <f>SUM(OSRRefD22_8x_0)</f>
        <v>949.16</v>
      </c>
      <c r="E93" s="1"/>
      <c r="F93" s="5">
        <f t="shared" si="46"/>
        <v>1.8585432346664797E-3</v>
      </c>
      <c r="G93" s="1"/>
      <c r="H93" s="1">
        <f>SUM(OSRRefH22_8x_0)</f>
        <v>275</v>
      </c>
      <c r="I93" s="1"/>
      <c r="J93" s="5">
        <f t="shared" si="47"/>
        <v>6.2909339634942816E-4</v>
      </c>
      <c r="K93" s="1"/>
      <c r="L93" s="1">
        <f t="shared" si="48"/>
        <v>674.16</v>
      </c>
      <c r="M93" s="1"/>
      <c r="N93" s="5">
        <f t="shared" si="49"/>
        <v>2.4514909090909089</v>
      </c>
      <c r="O93" s="14"/>
      <c r="P93" s="1">
        <f>SUM(OSRRefP22_8x_0)</f>
        <v>2823.81</v>
      </c>
      <c r="Q93" s="1"/>
      <c r="R93" s="5">
        <f t="shared" si="50"/>
        <v>7.5552678878661476E-4</v>
      </c>
      <c r="S93" s="1"/>
      <c r="T93" s="1">
        <f>SUM(OSRRefT22_8x_0)</f>
        <v>1400</v>
      </c>
      <c r="U93" s="1"/>
      <c r="V93" s="5">
        <f t="shared" si="51"/>
        <v>2.7412017702681035E-4</v>
      </c>
      <c r="W93" s="1"/>
      <c r="X93" s="1">
        <f t="shared" si="52"/>
        <v>1423.81</v>
      </c>
      <c r="Y93" s="1"/>
      <c r="Z93" s="5">
        <f t="shared" si="53"/>
        <v>1.0170071428571428</v>
      </c>
    </row>
    <row r="94" spans="1:26" s="24" customFormat="1" hidden="1" outlineLevel="2" x14ac:dyDescent="0.3">
      <c r="A94" s="29"/>
      <c r="B94" s="11" t="str">
        <f>CONCATENATE("          ", "6277", " - ", "EMPLOYEE APPRECIATION")</f>
        <v xml:space="preserve">          6277 - EMPLOYEE APPRECIATION</v>
      </c>
      <c r="C94" s="11"/>
      <c r="D94" s="6">
        <v>949.16</v>
      </c>
      <c r="E94" s="2"/>
      <c r="F94" s="7">
        <f t="shared" si="46"/>
        <v>1.8585432346664797E-3</v>
      </c>
      <c r="G94" s="2"/>
      <c r="H94" s="6">
        <v>275</v>
      </c>
      <c r="I94" s="2"/>
      <c r="J94" s="7">
        <f t="shared" si="47"/>
        <v>6.2909339634942816E-4</v>
      </c>
      <c r="K94" s="2"/>
      <c r="L94" s="6">
        <f t="shared" si="48"/>
        <v>674.16</v>
      </c>
      <c r="M94" s="2"/>
      <c r="N94" s="7">
        <f t="shared" si="49"/>
        <v>2.4514909090909089</v>
      </c>
      <c r="O94" s="11"/>
      <c r="P94" s="6">
        <v>2823.81</v>
      </c>
      <c r="Q94" s="2"/>
      <c r="R94" s="7">
        <f t="shared" si="50"/>
        <v>7.5552678878661476E-4</v>
      </c>
      <c r="S94" s="2"/>
      <c r="T94" s="6">
        <v>1400</v>
      </c>
      <c r="U94" s="2"/>
      <c r="V94" s="7">
        <f t="shared" si="51"/>
        <v>2.7412017702681035E-4</v>
      </c>
      <c r="W94" s="2"/>
      <c r="X94" s="6">
        <f t="shared" si="52"/>
        <v>1423.81</v>
      </c>
      <c r="Y94" s="2"/>
      <c r="Z94" s="7">
        <f t="shared" si="53"/>
        <v>1.0170071428571428</v>
      </c>
    </row>
    <row r="95" spans="1:26" s="28" customFormat="1" outlineLevel="1" collapsed="1" x14ac:dyDescent="0.3">
      <c r="A95" s="27"/>
      <c r="B95" s="14" t="str">
        <f>CONCATENATE("     ","Equipment Rental                                  ")</f>
        <v xml:space="preserve">     Equipment Rental                                  </v>
      </c>
      <c r="C95" s="14"/>
      <c r="D95" s="1">
        <f>SUM(OSRRefD22_9x_0)</f>
        <v>1537.07</v>
      </c>
      <c r="E95" s="1"/>
      <c r="F95" s="5">
        <f t="shared" si="46"/>
        <v>3.0097254938143262E-3</v>
      </c>
      <c r="G95" s="1"/>
      <c r="H95" s="1">
        <f>SUM(OSRRefH22_9x_0)</f>
        <v>1876</v>
      </c>
      <c r="I95" s="1"/>
      <c r="J95" s="5">
        <f t="shared" si="47"/>
        <v>4.2915607692782815E-3</v>
      </c>
      <c r="K95" s="1"/>
      <c r="L95" s="1">
        <f t="shared" si="48"/>
        <v>-338.93000000000006</v>
      </c>
      <c r="M95" s="1"/>
      <c r="N95" s="5">
        <f t="shared" si="49"/>
        <v>-0.1806663113006397</v>
      </c>
      <c r="O95" s="14"/>
      <c r="P95" s="1">
        <f>SUM(OSRRefP22_9x_0)</f>
        <v>9860.52</v>
      </c>
      <c r="Q95" s="1"/>
      <c r="R95" s="5">
        <f t="shared" si="50"/>
        <v>2.63823947481105E-3</v>
      </c>
      <c r="S95" s="1"/>
      <c r="T95" s="1">
        <f>SUM(OSRRefT22_9x_0)</f>
        <v>11056</v>
      </c>
      <c r="U95" s="1"/>
      <c r="V95" s="5">
        <f t="shared" si="51"/>
        <v>2.1647661980060107E-3</v>
      </c>
      <c r="W95" s="1"/>
      <c r="X95" s="1">
        <f t="shared" si="52"/>
        <v>-1195.4799999999996</v>
      </c>
      <c r="Y95" s="1"/>
      <c r="Z95" s="5">
        <f t="shared" si="53"/>
        <v>-0.10812952243125901</v>
      </c>
    </row>
    <row r="96" spans="1:26" s="24" customFormat="1" hidden="1" outlineLevel="2" x14ac:dyDescent="0.3">
      <c r="A96" s="29"/>
      <c r="B96" s="11" t="str">
        <f>CONCATENATE("          ", "6351", " - ", "EQUIPMENT RENTAL")</f>
        <v xml:space="preserve">          6351 - EQUIPMENT RENTAL</v>
      </c>
      <c r="C96" s="11"/>
      <c r="D96" s="6">
        <v>1537.07</v>
      </c>
      <c r="E96" s="2"/>
      <c r="F96" s="7">
        <f t="shared" si="46"/>
        <v>3.0097254938143262E-3</v>
      </c>
      <c r="G96" s="2"/>
      <c r="H96" s="6">
        <v>1876</v>
      </c>
      <c r="I96" s="2"/>
      <c r="J96" s="7">
        <f t="shared" si="47"/>
        <v>4.2915607692782815E-3</v>
      </c>
      <c r="K96" s="2"/>
      <c r="L96" s="6">
        <f t="shared" si="48"/>
        <v>-338.93000000000006</v>
      </c>
      <c r="M96" s="2"/>
      <c r="N96" s="7">
        <f t="shared" si="49"/>
        <v>-0.1806663113006397</v>
      </c>
      <c r="O96" s="11"/>
      <c r="P96" s="6">
        <v>9860.52</v>
      </c>
      <c r="Q96" s="2"/>
      <c r="R96" s="7">
        <f t="shared" si="50"/>
        <v>2.63823947481105E-3</v>
      </c>
      <c r="S96" s="2"/>
      <c r="T96" s="6">
        <v>11056</v>
      </c>
      <c r="U96" s="2"/>
      <c r="V96" s="7">
        <f t="shared" si="51"/>
        <v>2.1647661980060107E-3</v>
      </c>
      <c r="W96" s="2"/>
      <c r="X96" s="6">
        <f t="shared" si="52"/>
        <v>-1195.4799999999996</v>
      </c>
      <c r="Y96" s="2"/>
      <c r="Z96" s="7">
        <f t="shared" si="53"/>
        <v>-0.10812952243125901</v>
      </c>
    </row>
    <row r="97" spans="1:26" s="28" customFormat="1" outlineLevel="1" collapsed="1" x14ac:dyDescent="0.3">
      <c r="A97" s="27"/>
      <c r="B97" s="14" t="str">
        <f>CONCATENATE("     ","Freight out/Postage                               ")</f>
        <v xml:space="preserve">     Freight out/Postage                               </v>
      </c>
      <c r="C97" s="14"/>
      <c r="D97" s="1">
        <f>SUM(OSRRefD22_10x_0)</f>
        <v>-2180.9800000000014</v>
      </c>
      <c r="E97" s="1"/>
      <c r="F97" s="5">
        <f t="shared" si="46"/>
        <v>-4.2705609422467247E-3</v>
      </c>
      <c r="G97" s="1"/>
      <c r="H97" s="1">
        <f>SUM(OSRRefH22_10x_0)</f>
        <v>-50</v>
      </c>
      <c r="I97" s="1"/>
      <c r="J97" s="5">
        <f t="shared" si="47"/>
        <v>-1.1438061751807785E-4</v>
      </c>
      <c r="K97" s="1"/>
      <c r="L97" s="1">
        <f t="shared" si="48"/>
        <v>-2130.9800000000014</v>
      </c>
      <c r="M97" s="1"/>
      <c r="N97" s="5">
        <f t="shared" si="49"/>
        <v>42.619600000000027</v>
      </c>
      <c r="O97" s="14"/>
      <c r="P97" s="1">
        <f>SUM(OSRRefP22_10x_0)</f>
        <v>-32167.210000000006</v>
      </c>
      <c r="Q97" s="1"/>
      <c r="R97" s="5">
        <f t="shared" si="50"/>
        <v>-8.6065241200805609E-3</v>
      </c>
      <c r="S97" s="1"/>
      <c r="T97" s="1">
        <f>SUM(OSRRefT22_10x_0)</f>
        <v>8600</v>
      </c>
      <c r="U97" s="1"/>
      <c r="V97" s="5">
        <f t="shared" si="51"/>
        <v>1.6838810874504062E-3</v>
      </c>
      <c r="W97" s="1"/>
      <c r="X97" s="1">
        <f t="shared" si="52"/>
        <v>-40767.210000000006</v>
      </c>
      <c r="Y97" s="1"/>
      <c r="Z97" s="5">
        <f t="shared" si="53"/>
        <v>-4.740373255813954</v>
      </c>
    </row>
    <row r="98" spans="1:26" s="24" customFormat="1" hidden="1" outlineLevel="2" x14ac:dyDescent="0.3">
      <c r="A98" s="29"/>
      <c r="B98" s="11" t="str">
        <f>CONCATENATE("          ", "6305", " - ", "FREIGHT OUT")</f>
        <v xml:space="preserve">          6305 - FREIGHT OUT</v>
      </c>
      <c r="C98" s="11"/>
      <c r="D98" s="6">
        <v>12270.64</v>
      </c>
      <c r="E98" s="2"/>
      <c r="F98" s="7">
        <f t="shared" si="46"/>
        <v>2.4027050188617189E-2</v>
      </c>
      <c r="G98" s="2"/>
      <c r="H98" s="6">
        <v>9550</v>
      </c>
      <c r="I98" s="2"/>
      <c r="J98" s="7">
        <f t="shared" si="47"/>
        <v>2.184669794595287E-2</v>
      </c>
      <c r="K98" s="2"/>
      <c r="L98" s="6">
        <f t="shared" si="48"/>
        <v>2720.6399999999994</v>
      </c>
      <c r="M98" s="2"/>
      <c r="N98" s="7">
        <f t="shared" si="49"/>
        <v>0.28488376963350781</v>
      </c>
      <c r="O98" s="11"/>
      <c r="P98" s="6">
        <v>78099.259999999995</v>
      </c>
      <c r="Q98" s="2"/>
      <c r="R98" s="7">
        <f t="shared" si="50"/>
        <v>2.0895911238507869E-2</v>
      </c>
      <c r="S98" s="2"/>
      <c r="T98" s="6">
        <v>99500</v>
      </c>
      <c r="U98" s="2"/>
      <c r="V98" s="7">
        <f t="shared" si="51"/>
        <v>1.9482112581548305E-2</v>
      </c>
      <c r="W98" s="2"/>
      <c r="X98" s="6">
        <f t="shared" si="52"/>
        <v>-21400.740000000005</v>
      </c>
      <c r="Y98" s="2"/>
      <c r="Z98" s="7">
        <f t="shared" si="53"/>
        <v>-0.21508281407035182</v>
      </c>
    </row>
    <row r="99" spans="1:26" s="24" customFormat="1" hidden="1" outlineLevel="2" x14ac:dyDescent="0.3">
      <c r="A99" s="29"/>
      <c r="B99" s="11" t="str">
        <f>CONCATENATE("          ", "6307", " - ", "POSTAGE")</f>
        <v xml:space="preserve">          6307 - POSTAGE</v>
      </c>
      <c r="C99" s="11"/>
      <c r="D99" s="6">
        <v>-14451.62</v>
      </c>
      <c r="E99" s="2"/>
      <c r="F99" s="7">
        <f t="shared" si="46"/>
        <v>-2.8297611130863914E-2</v>
      </c>
      <c r="G99" s="2"/>
      <c r="H99" s="6">
        <v>-9600</v>
      </c>
      <c r="I99" s="2"/>
      <c r="J99" s="7">
        <f t="shared" si="47"/>
        <v>-2.1961078563470949E-2</v>
      </c>
      <c r="K99" s="2"/>
      <c r="L99" s="6">
        <f t="shared" si="48"/>
        <v>-4851.6200000000008</v>
      </c>
      <c r="M99" s="2"/>
      <c r="N99" s="7">
        <f t="shared" si="49"/>
        <v>0.50537708333333342</v>
      </c>
      <c r="O99" s="11"/>
      <c r="P99" s="6">
        <v>-110266.47</v>
      </c>
      <c r="Q99" s="2"/>
      <c r="R99" s="7">
        <f t="shared" si="50"/>
        <v>-2.950243535858843E-2</v>
      </c>
      <c r="S99" s="2"/>
      <c r="T99" s="6">
        <v>-90900</v>
      </c>
      <c r="U99" s="2"/>
      <c r="V99" s="7">
        <f t="shared" si="51"/>
        <v>-1.7798231494097899E-2</v>
      </c>
      <c r="W99" s="2"/>
      <c r="X99" s="6">
        <f t="shared" si="52"/>
        <v>-19366.47</v>
      </c>
      <c r="Y99" s="2"/>
      <c r="Z99" s="7">
        <f t="shared" si="53"/>
        <v>0.21305247524752477</v>
      </c>
    </row>
    <row r="100" spans="1:26" s="28" customFormat="1" outlineLevel="1" collapsed="1" x14ac:dyDescent="0.3">
      <c r="A100" s="27"/>
      <c r="B100" s="14" t="str">
        <f>CONCATENATE("     ","General                                           ")</f>
        <v xml:space="preserve">     General                                           </v>
      </c>
      <c r="C100" s="14"/>
      <c r="D100" s="1">
        <f>SUM(OSRRefD22_11x_0)</f>
        <v>1434.19</v>
      </c>
      <c r="E100" s="1"/>
      <c r="F100" s="5">
        <f t="shared" ref="F100:F102" si="54">IF(D$12=0,0,D100/D$12)</f>
        <v>2.8082769203572827E-3</v>
      </c>
      <c r="G100" s="1"/>
      <c r="H100" s="1">
        <f>SUM(OSRRefH22_11x_0)</f>
        <v>2985</v>
      </c>
      <c r="I100" s="1"/>
      <c r="J100" s="5">
        <f t="shared" ref="J100:J102" si="55">IF(H$12=0,0,H100/H$12)</f>
        <v>6.8285228658292478E-3</v>
      </c>
      <c r="K100" s="1"/>
      <c r="L100" s="1">
        <f t="shared" ref="L100:L102" si="56">+D100-H100</f>
        <v>-1550.81</v>
      </c>
      <c r="M100" s="1"/>
      <c r="N100" s="5">
        <f t="shared" ref="N100:N102" si="57">IF(H100=0,0,L100/H100)</f>
        <v>-0.51953433835845897</v>
      </c>
      <c r="O100" s="14"/>
      <c r="P100" s="1">
        <f>SUM(OSRRefP22_11x_0)</f>
        <v>6922.57</v>
      </c>
      <c r="Q100" s="1"/>
      <c r="R100" s="5">
        <f t="shared" ref="R100:R102" si="58">IF(P$12=0,0,P100/P$12)</f>
        <v>1.8521738651858855E-3</v>
      </c>
      <c r="S100" s="1"/>
      <c r="T100" s="1">
        <f>SUM(OSRRefT22_11x_0)</f>
        <v>5035</v>
      </c>
      <c r="U100" s="1"/>
      <c r="V100" s="5">
        <f t="shared" ref="V100:V102" si="59">IF(T$12=0,0,T100/T$12)</f>
        <v>9.8585363666427867E-4</v>
      </c>
      <c r="W100" s="1"/>
      <c r="X100" s="1">
        <f t="shared" ref="X100:X102" si="60">+P100-T100</f>
        <v>1887.5699999999997</v>
      </c>
      <c r="Y100" s="1"/>
      <c r="Z100" s="5">
        <f t="shared" ref="Z100:Z102" si="61">IF(T100=0,0,X100/T100)</f>
        <v>0.37488977159880826</v>
      </c>
    </row>
    <row r="101" spans="1:26" s="24" customFormat="1" hidden="1" outlineLevel="2" x14ac:dyDescent="0.3">
      <c r="A101" s="29"/>
      <c r="B101" s="11" t="str">
        <f>CONCATENATE("          ", "6276", " - ", "PROPERTY TAX")</f>
        <v xml:space="preserve">          6276 - PROPERTY TAX</v>
      </c>
      <c r="C101" s="11"/>
      <c r="D101" s="6"/>
      <c r="E101" s="2"/>
      <c r="F101" s="7">
        <f t="shared" si="54"/>
        <v>0</v>
      </c>
      <c r="G101" s="2"/>
      <c r="H101" s="6">
        <v>1125</v>
      </c>
      <c r="I101" s="2"/>
      <c r="J101" s="7">
        <f t="shared" si="55"/>
        <v>2.5735638941567517E-3</v>
      </c>
      <c r="K101" s="2"/>
      <c r="L101" s="6">
        <f t="shared" si="56"/>
        <v>-1125</v>
      </c>
      <c r="M101" s="2"/>
      <c r="N101" s="7">
        <f t="shared" si="57"/>
        <v>-1</v>
      </c>
      <c r="O101" s="11"/>
      <c r="P101" s="6"/>
      <c r="Q101" s="2"/>
      <c r="R101" s="7">
        <f t="shared" si="58"/>
        <v>0</v>
      </c>
      <c r="S101" s="2"/>
      <c r="T101" s="6">
        <v>1250</v>
      </c>
      <c r="U101" s="2"/>
      <c r="V101" s="7">
        <f t="shared" si="59"/>
        <v>2.4475015805965208E-4</v>
      </c>
      <c r="W101" s="2"/>
      <c r="X101" s="6">
        <f t="shared" si="60"/>
        <v>-1250</v>
      </c>
      <c r="Y101" s="2"/>
      <c r="Z101" s="7">
        <f t="shared" si="61"/>
        <v>-1</v>
      </c>
    </row>
    <row r="102" spans="1:26" s="24" customFormat="1" hidden="1" outlineLevel="2" x14ac:dyDescent="0.3">
      <c r="A102" s="29"/>
      <c r="B102" s="11" t="str">
        <f>CONCATENATE("          ", "6279", " - ", "GENERAL EXPENSE")</f>
        <v xml:space="preserve">          6279 - GENERAL EXPENSE</v>
      </c>
      <c r="C102" s="11"/>
      <c r="D102" s="6">
        <v>1434.19</v>
      </c>
      <c r="E102" s="2"/>
      <c r="F102" s="7">
        <f t="shared" si="54"/>
        <v>2.8082769203572827E-3</v>
      </c>
      <c r="G102" s="2"/>
      <c r="H102" s="6">
        <v>1860</v>
      </c>
      <c r="I102" s="2"/>
      <c r="J102" s="7">
        <f t="shared" si="55"/>
        <v>4.2549589716724965E-3</v>
      </c>
      <c r="K102" s="2"/>
      <c r="L102" s="6">
        <f t="shared" si="56"/>
        <v>-425.80999999999995</v>
      </c>
      <c r="M102" s="2"/>
      <c r="N102" s="7">
        <f t="shared" si="57"/>
        <v>-0.2289301075268817</v>
      </c>
      <c r="O102" s="11"/>
      <c r="P102" s="6">
        <v>6922.57</v>
      </c>
      <c r="Q102" s="2"/>
      <c r="R102" s="7">
        <f t="shared" si="58"/>
        <v>1.8521738651858855E-3</v>
      </c>
      <c r="S102" s="2"/>
      <c r="T102" s="6">
        <v>3785</v>
      </c>
      <c r="U102" s="2"/>
      <c r="V102" s="7">
        <f t="shared" si="59"/>
        <v>7.4110347860462653E-4</v>
      </c>
      <c r="W102" s="2"/>
      <c r="X102" s="6">
        <f t="shared" si="60"/>
        <v>3137.5699999999997</v>
      </c>
      <c r="Y102" s="2"/>
      <c r="Z102" s="7">
        <f t="shared" si="61"/>
        <v>0.82894848084544248</v>
      </c>
    </row>
    <row r="103" spans="1:26" s="28" customFormat="1" outlineLevel="1" collapsed="1" x14ac:dyDescent="0.3">
      <c r="A103" s="27"/>
      <c r="B103" s="14" t="str">
        <f>CONCATENATE("     ","Insurance                                         ")</f>
        <v xml:space="preserve">     Insurance                                         </v>
      </c>
      <c r="C103" s="14"/>
      <c r="D103" s="1">
        <f>SUM(OSRRefD22_12x_0)</f>
        <v>5825.58</v>
      </c>
      <c r="E103" s="1"/>
      <c r="F103" s="5">
        <f t="shared" ref="F103:F117" si="62">IF(D$12=0,0,D103/D$12)</f>
        <v>1.1407025472005089E-2</v>
      </c>
      <c r="G103" s="1"/>
      <c r="H103" s="1">
        <f>SUM(OSRRefH22_12x_0)</f>
        <v>5705</v>
      </c>
      <c r="I103" s="1"/>
      <c r="J103" s="5">
        <f t="shared" ref="J103:J117" si="63">IF(H$12=0,0,H103/H$12)</f>
        <v>1.3050828458812683E-2</v>
      </c>
      <c r="K103" s="1"/>
      <c r="L103" s="1">
        <f t="shared" ref="L103:L117" si="64">+D103-H103</f>
        <v>120.57999999999993</v>
      </c>
      <c r="M103" s="1"/>
      <c r="N103" s="5">
        <f t="shared" ref="N103:N117" si="65">IF(H103=0,0,L103/H103)</f>
        <v>2.1135845749342668E-2</v>
      </c>
      <c r="O103" s="14"/>
      <c r="P103" s="1">
        <f>SUM(OSRRefP22_12x_0)</f>
        <v>34953.480000000003</v>
      </c>
      <c r="Q103" s="1"/>
      <c r="R103" s="5">
        <f t="shared" ref="R103:R117" si="66">IF(P$12=0,0,P103/P$12)</f>
        <v>9.3520068635344327E-3</v>
      </c>
      <c r="S103" s="1"/>
      <c r="T103" s="1">
        <f>SUM(OSRRefT22_12x_0)</f>
        <v>34230</v>
      </c>
      <c r="U103" s="1"/>
      <c r="V103" s="5">
        <f t="shared" ref="V103:V117" si="67">IF(T$12=0,0,T103/T$12)</f>
        <v>6.7022383283055122E-3</v>
      </c>
      <c r="W103" s="1"/>
      <c r="X103" s="1">
        <f t="shared" ref="X103:X117" si="68">+P103-T103</f>
        <v>723.4800000000032</v>
      </c>
      <c r="Y103" s="1"/>
      <c r="Z103" s="5">
        <f t="shared" ref="Z103:Z117" si="69">IF(T103=0,0,X103/T103)</f>
        <v>2.1135845749342776E-2</v>
      </c>
    </row>
    <row r="104" spans="1:26" s="24" customFormat="1" hidden="1" outlineLevel="2" x14ac:dyDescent="0.3">
      <c r="A104" s="29"/>
      <c r="B104" s="11" t="str">
        <f>CONCATENATE("          ", "6314", " - ", "LIABILITY INSURANCE")</f>
        <v xml:space="preserve">          6314 - LIABILITY INSURANCE</v>
      </c>
      <c r="C104" s="11"/>
      <c r="D104" s="6">
        <v>5825.58</v>
      </c>
      <c r="E104" s="2"/>
      <c r="F104" s="7">
        <f t="shared" si="62"/>
        <v>1.1407025472005089E-2</v>
      </c>
      <c r="G104" s="2"/>
      <c r="H104" s="6">
        <v>5705</v>
      </c>
      <c r="I104" s="2"/>
      <c r="J104" s="7">
        <f t="shared" si="63"/>
        <v>1.3050828458812683E-2</v>
      </c>
      <c r="K104" s="2"/>
      <c r="L104" s="6">
        <f t="shared" si="64"/>
        <v>120.57999999999993</v>
      </c>
      <c r="M104" s="2"/>
      <c r="N104" s="7">
        <f t="shared" si="65"/>
        <v>2.1135845749342668E-2</v>
      </c>
      <c r="O104" s="11"/>
      <c r="P104" s="6">
        <v>34953.480000000003</v>
      </c>
      <c r="Q104" s="2"/>
      <c r="R104" s="7">
        <f t="shared" si="66"/>
        <v>9.3520068635344327E-3</v>
      </c>
      <c r="S104" s="2"/>
      <c r="T104" s="6">
        <v>34230</v>
      </c>
      <c r="U104" s="2"/>
      <c r="V104" s="7">
        <f t="shared" si="67"/>
        <v>6.7022383283055122E-3</v>
      </c>
      <c r="W104" s="2"/>
      <c r="X104" s="6">
        <f t="shared" si="68"/>
        <v>723.4800000000032</v>
      </c>
      <c r="Y104" s="2"/>
      <c r="Z104" s="7">
        <f t="shared" si="69"/>
        <v>2.1135845749342776E-2</v>
      </c>
    </row>
    <row r="105" spans="1:26" s="28" customFormat="1" outlineLevel="1" collapsed="1" x14ac:dyDescent="0.3">
      <c r="A105" s="27"/>
      <c r="B105" s="14" t="str">
        <f>CONCATENATE("     ","Interest                                          ")</f>
        <v xml:space="preserve">     Interest                                          </v>
      </c>
      <c r="C105" s="14"/>
      <c r="D105" s="1">
        <f>SUM(OSRRefD22_13x_0)</f>
        <v>3905</v>
      </c>
      <c r="E105" s="1"/>
      <c r="F105" s="5">
        <f t="shared" si="62"/>
        <v>7.6463518599315218E-3</v>
      </c>
      <c r="G105" s="1"/>
      <c r="H105" s="1">
        <f>SUM(OSRRefH22_13x_0)</f>
        <v>3905</v>
      </c>
      <c r="I105" s="1"/>
      <c r="J105" s="5">
        <f t="shared" si="63"/>
        <v>8.9331262281618813E-3</v>
      </c>
      <c r="K105" s="1"/>
      <c r="L105" s="1">
        <f t="shared" si="64"/>
        <v>0</v>
      </c>
      <c r="M105" s="1"/>
      <c r="N105" s="5">
        <f t="shared" si="65"/>
        <v>0</v>
      </c>
      <c r="O105" s="14"/>
      <c r="P105" s="1">
        <f>SUM(OSRRefP22_13x_0)</f>
        <v>23154</v>
      </c>
      <c r="Q105" s="1"/>
      <c r="R105" s="5">
        <f t="shared" si="66"/>
        <v>6.1949873637267656E-3</v>
      </c>
      <c r="S105" s="1"/>
      <c r="T105" s="1">
        <f>SUM(OSRRefT22_13x_0)</f>
        <v>23430</v>
      </c>
      <c r="U105" s="1"/>
      <c r="V105" s="5">
        <f t="shared" si="67"/>
        <v>4.5875969626701183E-3</v>
      </c>
      <c r="W105" s="1"/>
      <c r="X105" s="1">
        <f t="shared" si="68"/>
        <v>-276</v>
      </c>
      <c r="Y105" s="1"/>
      <c r="Z105" s="5">
        <f t="shared" si="69"/>
        <v>-1.17797695262484E-2</v>
      </c>
    </row>
    <row r="106" spans="1:26" s="24" customFormat="1" hidden="1" outlineLevel="2" x14ac:dyDescent="0.3">
      <c r="A106" s="29"/>
      <c r="B106" s="11" t="str">
        <f>CONCATENATE("          ", "6401", " - ", "INTEREST EXPENSE")</f>
        <v xml:space="preserve">          6401 - INTEREST EXPENSE</v>
      </c>
      <c r="C106" s="11"/>
      <c r="D106" s="6">
        <v>3905</v>
      </c>
      <c r="E106" s="2"/>
      <c r="F106" s="7">
        <f t="shared" si="62"/>
        <v>7.6463518599315218E-3</v>
      </c>
      <c r="G106" s="2"/>
      <c r="H106" s="6">
        <v>3905</v>
      </c>
      <c r="I106" s="2"/>
      <c r="J106" s="7">
        <f t="shared" si="63"/>
        <v>8.9331262281618813E-3</v>
      </c>
      <c r="K106" s="2"/>
      <c r="L106" s="6">
        <f t="shared" si="64"/>
        <v>0</v>
      </c>
      <c r="M106" s="2"/>
      <c r="N106" s="7">
        <f t="shared" si="65"/>
        <v>0</v>
      </c>
      <c r="O106" s="11"/>
      <c r="P106" s="6">
        <v>23154</v>
      </c>
      <c r="Q106" s="2"/>
      <c r="R106" s="7">
        <f t="shared" si="66"/>
        <v>6.1949873637267656E-3</v>
      </c>
      <c r="S106" s="2"/>
      <c r="T106" s="6">
        <v>23430</v>
      </c>
      <c r="U106" s="2"/>
      <c r="V106" s="7">
        <f t="shared" si="67"/>
        <v>4.5875969626701183E-3</v>
      </c>
      <c r="W106" s="2"/>
      <c r="X106" s="6">
        <f t="shared" si="68"/>
        <v>-276</v>
      </c>
      <c r="Y106" s="2"/>
      <c r="Z106" s="7">
        <f t="shared" si="69"/>
        <v>-1.17797695262484E-2</v>
      </c>
    </row>
    <row r="107" spans="1:26" s="28" customFormat="1" outlineLevel="1" collapsed="1" x14ac:dyDescent="0.3">
      <c r="A107" s="27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SUM(OSRRefD22_14x_0)</f>
        <v>9100</v>
      </c>
      <c r="E107" s="1"/>
      <c r="F107" s="5">
        <f t="shared" si="62"/>
        <v>1.7818643258739268E-2</v>
      </c>
      <c r="G107" s="1"/>
      <c r="H107" s="1">
        <f>SUM(OSRRefH22_14x_0)</f>
        <v>9100</v>
      </c>
      <c r="I107" s="1"/>
      <c r="J107" s="5">
        <f t="shared" si="63"/>
        <v>2.0817272388290169E-2</v>
      </c>
      <c r="K107" s="1"/>
      <c r="L107" s="1">
        <f t="shared" si="64"/>
        <v>0</v>
      </c>
      <c r="M107" s="1"/>
      <c r="N107" s="5">
        <f t="shared" si="65"/>
        <v>0</v>
      </c>
      <c r="O107" s="14"/>
      <c r="P107" s="1">
        <f>SUM(OSRRefP22_14x_0)</f>
        <v>34600</v>
      </c>
      <c r="Q107" s="1"/>
      <c r="R107" s="5">
        <f t="shared" si="66"/>
        <v>9.2574312336937935E-3</v>
      </c>
      <c r="S107" s="1"/>
      <c r="T107" s="1">
        <f>SUM(OSRRefT22_14x_0)</f>
        <v>34600</v>
      </c>
      <c r="U107" s="1"/>
      <c r="V107" s="5">
        <f t="shared" si="67"/>
        <v>6.7746843750911695E-3</v>
      </c>
      <c r="W107" s="1"/>
      <c r="X107" s="1">
        <f t="shared" si="68"/>
        <v>0</v>
      </c>
      <c r="Y107" s="1"/>
      <c r="Z107" s="5">
        <f t="shared" si="69"/>
        <v>0</v>
      </c>
    </row>
    <row r="108" spans="1:26" s="24" customFormat="1" hidden="1" outlineLevel="2" x14ac:dyDescent="0.3">
      <c r="A108" s="29"/>
      <c r="B108" s="11" t="str">
        <f>CONCATENATE("          ", "6408", " - ", "INVENTORY ADJUSTMENT")</f>
        <v xml:space="preserve">          6408 - INVENTORY ADJUSTMENT</v>
      </c>
      <c r="C108" s="11"/>
      <c r="D108" s="6">
        <v>9100</v>
      </c>
      <c r="E108" s="2"/>
      <c r="F108" s="7">
        <f t="shared" si="62"/>
        <v>1.7818643258739268E-2</v>
      </c>
      <c r="G108" s="2"/>
      <c r="H108" s="6">
        <v>9100</v>
      </c>
      <c r="I108" s="2"/>
      <c r="J108" s="7">
        <f t="shared" si="63"/>
        <v>2.0817272388290169E-2</v>
      </c>
      <c r="K108" s="2"/>
      <c r="L108" s="6">
        <f t="shared" si="64"/>
        <v>0</v>
      </c>
      <c r="M108" s="2"/>
      <c r="N108" s="7">
        <f t="shared" si="65"/>
        <v>0</v>
      </c>
      <c r="O108" s="11"/>
      <c r="P108" s="6">
        <v>34600</v>
      </c>
      <c r="Q108" s="2"/>
      <c r="R108" s="7">
        <f t="shared" si="66"/>
        <v>9.2574312336937935E-3</v>
      </c>
      <c r="S108" s="2"/>
      <c r="T108" s="6">
        <v>34600</v>
      </c>
      <c r="U108" s="2"/>
      <c r="V108" s="7">
        <f t="shared" si="67"/>
        <v>6.7746843750911695E-3</v>
      </c>
      <c r="W108" s="2"/>
      <c r="X108" s="6">
        <f t="shared" si="68"/>
        <v>0</v>
      </c>
      <c r="Y108" s="2"/>
      <c r="Z108" s="7">
        <f t="shared" si="69"/>
        <v>0</v>
      </c>
    </row>
    <row r="109" spans="1:26" s="28" customFormat="1" outlineLevel="1" collapsed="1" x14ac:dyDescent="0.3">
      <c r="A109" s="27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SUM(OSRRefD22_15x_0)</f>
        <v>0</v>
      </c>
      <c r="E109" s="1"/>
      <c r="F109" s="5">
        <f t="shared" si="62"/>
        <v>0</v>
      </c>
      <c r="G109" s="1"/>
      <c r="H109" s="1">
        <f>SUM(OSRRefH22_15x_0)</f>
        <v>0</v>
      </c>
      <c r="I109" s="1"/>
      <c r="J109" s="5">
        <f t="shared" si="63"/>
        <v>0</v>
      </c>
      <c r="K109" s="1"/>
      <c r="L109" s="1">
        <f t="shared" si="64"/>
        <v>0</v>
      </c>
      <c r="M109" s="1"/>
      <c r="N109" s="5">
        <f t="shared" si="65"/>
        <v>0</v>
      </c>
      <c r="O109" s="14"/>
      <c r="P109" s="1">
        <f>SUM(OSRRefP22_15x_0)</f>
        <v>8186.53</v>
      </c>
      <c r="Q109" s="1"/>
      <c r="R109" s="5">
        <f t="shared" si="66"/>
        <v>2.1903537143806722E-3</v>
      </c>
      <c r="S109" s="1"/>
      <c r="T109" s="1">
        <f>SUM(OSRRefT22_15x_0)</f>
        <v>1250</v>
      </c>
      <c r="U109" s="1"/>
      <c r="V109" s="5">
        <f t="shared" si="67"/>
        <v>2.4475015805965208E-4</v>
      </c>
      <c r="W109" s="1"/>
      <c r="X109" s="1">
        <f t="shared" si="68"/>
        <v>6936.53</v>
      </c>
      <c r="Y109" s="1"/>
      <c r="Z109" s="5">
        <f t="shared" si="69"/>
        <v>5.5492239999999997</v>
      </c>
    </row>
    <row r="110" spans="1:26" s="24" customFormat="1" hidden="1" outlineLevel="2" x14ac:dyDescent="0.3">
      <c r="A110" s="29"/>
      <c r="B110" s="11" t="str">
        <f>CONCATENATE("          ", "6336", " - ", "PROFESSIONAL SERVICES")</f>
        <v xml:space="preserve">          6336 - PROFESSIONAL SERVICES</v>
      </c>
      <c r="C110" s="11"/>
      <c r="D110" s="6"/>
      <c r="E110" s="2"/>
      <c r="F110" s="7">
        <f t="shared" si="62"/>
        <v>0</v>
      </c>
      <c r="G110" s="2"/>
      <c r="H110" s="6">
        <v>0</v>
      </c>
      <c r="I110" s="2"/>
      <c r="J110" s="7">
        <f t="shared" si="63"/>
        <v>0</v>
      </c>
      <c r="K110" s="2"/>
      <c r="L110" s="6">
        <f t="shared" si="64"/>
        <v>0</v>
      </c>
      <c r="M110" s="2"/>
      <c r="N110" s="7">
        <f t="shared" si="65"/>
        <v>0</v>
      </c>
      <c r="O110" s="11"/>
      <c r="P110" s="6">
        <v>8186.53</v>
      </c>
      <c r="Q110" s="2"/>
      <c r="R110" s="7">
        <f t="shared" si="66"/>
        <v>2.1903537143806722E-3</v>
      </c>
      <c r="S110" s="2"/>
      <c r="T110" s="6">
        <v>1250</v>
      </c>
      <c r="U110" s="2"/>
      <c r="V110" s="7">
        <f t="shared" si="67"/>
        <v>2.4475015805965208E-4</v>
      </c>
      <c r="W110" s="2"/>
      <c r="X110" s="6">
        <f t="shared" si="68"/>
        <v>6936.53</v>
      </c>
      <c r="Y110" s="2"/>
      <c r="Z110" s="7">
        <f t="shared" si="69"/>
        <v>5.5492239999999997</v>
      </c>
    </row>
    <row r="111" spans="1:26" s="28" customFormat="1" outlineLevel="1" collapsed="1" x14ac:dyDescent="0.3">
      <c r="A111" s="27"/>
      <c r="B111" s="14" t="str">
        <f>CONCATENATE("     ","Rent                                              ")</f>
        <v xml:space="preserve">     Rent                                              </v>
      </c>
      <c r="C111" s="14"/>
      <c r="D111" s="1">
        <f>SUM(OSRRefD22_16x_0)</f>
        <v>6100</v>
      </c>
      <c r="E111" s="1"/>
      <c r="F111" s="5">
        <f t="shared" si="62"/>
        <v>1.1944365261352697E-2</v>
      </c>
      <c r="G111" s="1"/>
      <c r="H111" s="1">
        <f>SUM(OSRRefH22_16x_0)</f>
        <v>6100</v>
      </c>
      <c r="I111" s="1"/>
      <c r="J111" s="5">
        <f t="shared" si="63"/>
        <v>1.3954435337205499E-2</v>
      </c>
      <c r="K111" s="1"/>
      <c r="L111" s="1">
        <f t="shared" si="64"/>
        <v>0</v>
      </c>
      <c r="M111" s="1"/>
      <c r="N111" s="5">
        <f t="shared" si="65"/>
        <v>0</v>
      </c>
      <c r="O111" s="14"/>
      <c r="P111" s="1">
        <f>SUM(OSRRefP22_16x_0)</f>
        <v>36600</v>
      </c>
      <c r="Q111" s="1"/>
      <c r="R111" s="5">
        <f t="shared" si="66"/>
        <v>9.792542865699215E-3</v>
      </c>
      <c r="S111" s="1"/>
      <c r="T111" s="1">
        <f>SUM(OSRRefT22_16x_0)</f>
        <v>36600</v>
      </c>
      <c r="U111" s="1"/>
      <c r="V111" s="5">
        <f t="shared" si="67"/>
        <v>7.1662846279866126E-3</v>
      </c>
      <c r="W111" s="1"/>
      <c r="X111" s="1">
        <f t="shared" si="68"/>
        <v>0</v>
      </c>
      <c r="Y111" s="1"/>
      <c r="Z111" s="5">
        <f t="shared" si="69"/>
        <v>0</v>
      </c>
    </row>
    <row r="112" spans="1:26" s="24" customFormat="1" hidden="1" outlineLevel="2" x14ac:dyDescent="0.3">
      <c r="A112" s="29"/>
      <c r="B112" s="11" t="str">
        <f>CONCATENATE("          ", "6273", " - ", "RENT")</f>
        <v xml:space="preserve">          6273 - RENT</v>
      </c>
      <c r="C112" s="11"/>
      <c r="D112" s="6">
        <v>6100</v>
      </c>
      <c r="E112" s="2"/>
      <c r="F112" s="7">
        <f t="shared" si="62"/>
        <v>1.1944365261352697E-2</v>
      </c>
      <c r="G112" s="2"/>
      <c r="H112" s="6">
        <v>6100</v>
      </c>
      <c r="I112" s="2"/>
      <c r="J112" s="7">
        <f t="shared" si="63"/>
        <v>1.3954435337205499E-2</v>
      </c>
      <c r="K112" s="2"/>
      <c r="L112" s="6">
        <f t="shared" si="64"/>
        <v>0</v>
      </c>
      <c r="M112" s="2"/>
      <c r="N112" s="7">
        <f t="shared" si="65"/>
        <v>0</v>
      </c>
      <c r="O112" s="11"/>
      <c r="P112" s="6">
        <v>36600</v>
      </c>
      <c r="Q112" s="2"/>
      <c r="R112" s="7">
        <f t="shared" si="66"/>
        <v>9.792542865699215E-3</v>
      </c>
      <c r="S112" s="2"/>
      <c r="T112" s="6">
        <v>36600</v>
      </c>
      <c r="U112" s="2"/>
      <c r="V112" s="7">
        <f t="shared" si="67"/>
        <v>7.1662846279866126E-3</v>
      </c>
      <c r="W112" s="2"/>
      <c r="X112" s="6">
        <f t="shared" si="68"/>
        <v>0</v>
      </c>
      <c r="Y112" s="2"/>
      <c r="Z112" s="7">
        <f t="shared" si="69"/>
        <v>0</v>
      </c>
    </row>
    <row r="113" spans="1:26" s="28" customFormat="1" outlineLevel="1" collapsed="1" x14ac:dyDescent="0.3">
      <c r="A113" s="27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SUM(OSRRefD22_17x_0)</f>
        <v>7625.57</v>
      </c>
      <c r="E113" s="1"/>
      <c r="F113" s="5">
        <f t="shared" si="62"/>
        <v>1.4931572689510375E-2</v>
      </c>
      <c r="G113" s="1"/>
      <c r="H113" s="1">
        <f>SUM(OSRRefH22_17x_0)</f>
        <v>5998</v>
      </c>
      <c r="I113" s="1"/>
      <c r="J113" s="5">
        <f t="shared" si="63"/>
        <v>1.372109887746862E-2</v>
      </c>
      <c r="K113" s="1"/>
      <c r="L113" s="1">
        <f t="shared" si="64"/>
        <v>1627.5699999999997</v>
      </c>
      <c r="M113" s="1"/>
      <c r="N113" s="5">
        <f t="shared" si="65"/>
        <v>0.27135211737245746</v>
      </c>
      <c r="O113" s="14"/>
      <c r="P113" s="1">
        <f>SUM(OSRRefP22_17x_0)</f>
        <v>100785.87</v>
      </c>
      <c r="Q113" s="1"/>
      <c r="R113" s="5">
        <f t="shared" si="66"/>
        <v>2.6965845689393128E-2</v>
      </c>
      <c r="S113" s="1"/>
      <c r="T113" s="1">
        <f>SUM(OSRRefT22_17x_0)</f>
        <v>100969</v>
      </c>
      <c r="U113" s="1"/>
      <c r="V113" s="5">
        <f t="shared" si="67"/>
        <v>1.9769742967300007E-2</v>
      </c>
      <c r="W113" s="1"/>
      <c r="X113" s="1">
        <f t="shared" si="68"/>
        <v>-183.13000000000466</v>
      </c>
      <c r="Y113" s="1"/>
      <c r="Z113" s="5">
        <f t="shared" si="69"/>
        <v>-1.8137250047044603E-3</v>
      </c>
    </row>
    <row r="114" spans="1:26" s="24" customFormat="1" hidden="1" outlineLevel="2" x14ac:dyDescent="0.3">
      <c r="A114" s="29"/>
      <c r="B114" s="11" t="str">
        <f>CONCATENATE("          ", "6371", " - ", "COMPUTER SOFTWARE MAINTENANCE")</f>
        <v xml:space="preserve">          6371 - COMPUTER SOFTWARE MAINTENANCE</v>
      </c>
      <c r="C114" s="11"/>
      <c r="D114" s="6"/>
      <c r="E114" s="2"/>
      <c r="F114" s="7">
        <f t="shared" si="62"/>
        <v>0</v>
      </c>
      <c r="G114" s="2"/>
      <c r="H114" s="6">
        <v>1000</v>
      </c>
      <c r="I114" s="2"/>
      <c r="J114" s="7">
        <f t="shared" si="63"/>
        <v>2.2876123503615571E-3</v>
      </c>
      <c r="K114" s="2"/>
      <c r="L114" s="6">
        <f t="shared" si="64"/>
        <v>-1000</v>
      </c>
      <c r="M114" s="2"/>
      <c r="N114" s="7">
        <f t="shared" si="65"/>
        <v>-1</v>
      </c>
      <c r="O114" s="11"/>
      <c r="P114" s="6">
        <v>62511</v>
      </c>
      <c r="Q114" s="2"/>
      <c r="R114" s="7">
        <f t="shared" si="66"/>
        <v>1.6725181614145455E-2</v>
      </c>
      <c r="S114" s="2"/>
      <c r="T114" s="6">
        <v>47723</v>
      </c>
      <c r="U114" s="2"/>
      <c r="V114" s="7">
        <f t="shared" si="67"/>
        <v>9.3441694344646199E-3</v>
      </c>
      <c r="W114" s="2"/>
      <c r="X114" s="6">
        <f t="shared" si="68"/>
        <v>14788</v>
      </c>
      <c r="Y114" s="2"/>
      <c r="Z114" s="7">
        <f t="shared" si="69"/>
        <v>0.30987155040546488</v>
      </c>
    </row>
    <row r="115" spans="1:26" s="24" customFormat="1" hidden="1" outlineLevel="2" x14ac:dyDescent="0.3">
      <c r="A115" s="29"/>
      <c r="B115" s="11" t="str">
        <f>CONCATENATE("          ", "6372", " - ", "COMPUTER HARDWARE MAINTENANCE")</f>
        <v xml:space="preserve">          6372 - COMPUTER HARDWARE MAINTENANCE</v>
      </c>
      <c r="C115" s="11"/>
      <c r="D115" s="6"/>
      <c r="E115" s="2"/>
      <c r="F115" s="7">
        <f t="shared" si="62"/>
        <v>0</v>
      </c>
      <c r="G115" s="2"/>
      <c r="H115" s="6">
        <v>3750</v>
      </c>
      <c r="I115" s="2"/>
      <c r="J115" s="7">
        <f t="shared" si="63"/>
        <v>8.57854631385584E-3</v>
      </c>
      <c r="K115" s="2"/>
      <c r="L115" s="6">
        <f t="shared" si="64"/>
        <v>-3750</v>
      </c>
      <c r="M115" s="2"/>
      <c r="N115" s="7">
        <f t="shared" si="65"/>
        <v>-1</v>
      </c>
      <c r="O115" s="11"/>
      <c r="P115" s="6"/>
      <c r="Q115" s="2"/>
      <c r="R115" s="7">
        <f t="shared" si="66"/>
        <v>0</v>
      </c>
      <c r="S115" s="2"/>
      <c r="T115" s="6">
        <v>19120</v>
      </c>
      <c r="U115" s="2"/>
      <c r="V115" s="7">
        <f t="shared" si="67"/>
        <v>3.7436984176804381E-3</v>
      </c>
      <c r="W115" s="2"/>
      <c r="X115" s="6">
        <f t="shared" si="68"/>
        <v>-19120</v>
      </c>
      <c r="Y115" s="2"/>
      <c r="Z115" s="7">
        <f t="shared" si="69"/>
        <v>-1</v>
      </c>
    </row>
    <row r="116" spans="1:26" s="24" customFormat="1" hidden="1" outlineLevel="2" x14ac:dyDescent="0.3">
      <c r="A116" s="29"/>
      <c r="B116" s="11" t="str">
        <f>CONCATENATE("          ", "6373", " - ", "MAINTENANCE CONTRACTS")</f>
        <v xml:space="preserve">          6373 - MAINTENANCE CONTRACTS</v>
      </c>
      <c r="C116" s="11"/>
      <c r="D116" s="6">
        <v>2850.59</v>
      </c>
      <c r="E116" s="2"/>
      <c r="F116" s="7">
        <f t="shared" si="62"/>
        <v>5.5817193721900632E-3</v>
      </c>
      <c r="G116" s="2"/>
      <c r="H116" s="6">
        <v>993</v>
      </c>
      <c r="I116" s="2"/>
      <c r="J116" s="7">
        <f t="shared" si="63"/>
        <v>2.2715990639090261E-3</v>
      </c>
      <c r="K116" s="2"/>
      <c r="L116" s="6">
        <f t="shared" si="64"/>
        <v>1857.5900000000001</v>
      </c>
      <c r="M116" s="2"/>
      <c r="N116" s="7">
        <f t="shared" si="65"/>
        <v>1.8706847935548843</v>
      </c>
      <c r="O116" s="11"/>
      <c r="P116" s="6">
        <v>15300.17</v>
      </c>
      <c r="Q116" s="2"/>
      <c r="R116" s="7">
        <f t="shared" si="66"/>
        <v>4.0936494693301958E-3</v>
      </c>
      <c r="S116" s="2"/>
      <c r="T116" s="6">
        <v>30966</v>
      </c>
      <c r="U116" s="2"/>
      <c r="V116" s="7">
        <f t="shared" si="67"/>
        <v>6.0631467155801491E-3</v>
      </c>
      <c r="W116" s="2"/>
      <c r="X116" s="6">
        <f t="shared" si="68"/>
        <v>-15665.83</v>
      </c>
      <c r="Y116" s="2"/>
      <c r="Z116" s="7">
        <f t="shared" si="69"/>
        <v>-0.50590421752890269</v>
      </c>
    </row>
    <row r="117" spans="1:26" s="24" customFormat="1" hidden="1" outlineLevel="2" x14ac:dyDescent="0.3">
      <c r="A117" s="29"/>
      <c r="B117" s="11" t="str">
        <f>CONCATENATE("          ", "6375", " - ", "OUTSIDE REPAIRS &amp; MAINTENANCE")</f>
        <v xml:space="preserve">          6375 - OUTSIDE REPAIRS &amp; MAINTENANCE</v>
      </c>
      <c r="C117" s="11"/>
      <c r="D117" s="6">
        <v>4774.9799999999996</v>
      </c>
      <c r="E117" s="2"/>
      <c r="F117" s="7">
        <f t="shared" si="62"/>
        <v>9.3498533173203106E-3</v>
      </c>
      <c r="G117" s="2"/>
      <c r="H117" s="6">
        <v>255</v>
      </c>
      <c r="I117" s="2"/>
      <c r="J117" s="7">
        <f t="shared" si="63"/>
        <v>5.8334114934219705E-4</v>
      </c>
      <c r="K117" s="2"/>
      <c r="L117" s="6">
        <f t="shared" si="64"/>
        <v>4519.9799999999996</v>
      </c>
      <c r="M117" s="2"/>
      <c r="N117" s="7">
        <f t="shared" si="65"/>
        <v>17.725411764705882</v>
      </c>
      <c r="O117" s="11"/>
      <c r="P117" s="6">
        <v>22974.7</v>
      </c>
      <c r="Q117" s="2"/>
      <c r="R117" s="7">
        <f t="shared" si="66"/>
        <v>6.1470146059174804E-3</v>
      </c>
      <c r="S117" s="2"/>
      <c r="T117" s="6">
        <v>3160</v>
      </c>
      <c r="U117" s="2"/>
      <c r="V117" s="7">
        <f t="shared" si="67"/>
        <v>6.1872839957480047E-4</v>
      </c>
      <c r="W117" s="2"/>
      <c r="X117" s="6">
        <f t="shared" si="68"/>
        <v>19814.7</v>
      </c>
      <c r="Y117" s="2"/>
      <c r="Z117" s="7">
        <f t="shared" si="69"/>
        <v>6.2704746835443039</v>
      </c>
    </row>
    <row r="118" spans="1:26" s="28" customFormat="1" outlineLevel="1" collapsed="1" x14ac:dyDescent="0.3">
      <c r="A118" s="27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SUM(OSRRefD22_18x_0)</f>
        <v>1121.23</v>
      </c>
      <c r="E118" s="1"/>
      <c r="F118" s="5">
        <f t="shared" ref="F118:F122" si="70">IF(D$12=0,0,D118/D$12)</f>
        <v>2.1954722396699154E-3</v>
      </c>
      <c r="G118" s="1"/>
      <c r="H118" s="1">
        <f>SUM(OSRRefH22_18x_0)</f>
        <v>5518</v>
      </c>
      <c r="I118" s="1"/>
      <c r="J118" s="5">
        <f t="shared" ref="J118:J122" si="71">IF(H$12=0,0,H118/H$12)</f>
        <v>1.2623044949295073E-2</v>
      </c>
      <c r="K118" s="1"/>
      <c r="L118" s="1">
        <f t="shared" ref="L118:L122" si="72">+D118-H118</f>
        <v>-4396.7700000000004</v>
      </c>
      <c r="M118" s="1"/>
      <c r="N118" s="5">
        <f t="shared" ref="N118:N122" si="73">IF(H118=0,0,L118/H118)</f>
        <v>-0.79680500181225089</v>
      </c>
      <c r="O118" s="14"/>
      <c r="P118" s="1">
        <f>SUM(OSRRefP22_18x_0)</f>
        <v>21746.93</v>
      </c>
      <c r="Q118" s="1"/>
      <c r="R118" s="5">
        <f t="shared" ref="R118:R122" si="74">IF(P$12=0,0,P118/P$12)</f>
        <v>5.8185176017038313E-3</v>
      </c>
      <c r="S118" s="1"/>
      <c r="T118" s="1">
        <f>SUM(OSRRefT22_18x_0)</f>
        <v>49364</v>
      </c>
      <c r="U118" s="1"/>
      <c r="V118" s="5">
        <f t="shared" ref="V118:V122" si="75">IF(T$12=0,0,T118/T$12)</f>
        <v>9.6654774419653328E-3</v>
      </c>
      <c r="W118" s="1"/>
      <c r="X118" s="1">
        <f t="shared" ref="X118:X122" si="76">+P118-T118</f>
        <v>-27617.07</v>
      </c>
      <c r="Y118" s="1"/>
      <c r="Z118" s="5">
        <f t="shared" ref="Z118:Z122" si="77">IF(T118=0,0,X118/T118)</f>
        <v>-0.55945770196904632</v>
      </c>
    </row>
    <row r="119" spans="1:26" s="24" customFormat="1" hidden="1" outlineLevel="2" x14ac:dyDescent="0.3">
      <c r="A119" s="29"/>
      <c r="B119" s="11" t="str">
        <f>CONCATENATE("          ", "6252", " - ", "ROYALTY DUE CSTV")</f>
        <v xml:space="preserve">          6252 - ROYALTY DUE CSTV</v>
      </c>
      <c r="C119" s="11"/>
      <c r="D119" s="6"/>
      <c r="E119" s="2"/>
      <c r="F119" s="7">
        <f t="shared" si="70"/>
        <v>0</v>
      </c>
      <c r="G119" s="2"/>
      <c r="H119" s="6">
        <v>1906</v>
      </c>
      <c r="I119" s="2"/>
      <c r="J119" s="7">
        <f t="shared" si="71"/>
        <v>4.3601891397891277E-3</v>
      </c>
      <c r="K119" s="2"/>
      <c r="L119" s="6">
        <f t="shared" si="72"/>
        <v>-1906</v>
      </c>
      <c r="M119" s="2"/>
      <c r="N119" s="7">
        <f t="shared" si="73"/>
        <v>-1</v>
      </c>
      <c r="O119" s="11"/>
      <c r="P119" s="6"/>
      <c r="Q119" s="2"/>
      <c r="R119" s="7">
        <f t="shared" si="74"/>
        <v>0</v>
      </c>
      <c r="S119" s="2"/>
      <c r="T119" s="6">
        <v>10230</v>
      </c>
      <c r="U119" s="2"/>
      <c r="V119" s="7">
        <f t="shared" si="75"/>
        <v>2.0030352935601924E-3</v>
      </c>
      <c r="W119" s="2"/>
      <c r="X119" s="6">
        <f t="shared" si="76"/>
        <v>-10230</v>
      </c>
      <c r="Y119" s="2"/>
      <c r="Z119" s="7">
        <f t="shared" si="77"/>
        <v>-1</v>
      </c>
    </row>
    <row r="120" spans="1:26" s="24" customFormat="1" hidden="1" outlineLevel="2" x14ac:dyDescent="0.3">
      <c r="A120" s="29"/>
      <c r="B120" s="11" t="str">
        <f>CONCATENATE("          ", "6253", " - ", "ROYALTY DUE ATHLETICS-LRG")</f>
        <v xml:space="preserve">          6253 - ROYALTY DUE ATHLETICS-LRG</v>
      </c>
      <c r="C120" s="11"/>
      <c r="D120" s="6"/>
      <c r="E120" s="2"/>
      <c r="F120" s="7">
        <f t="shared" si="70"/>
        <v>0</v>
      </c>
      <c r="G120" s="2"/>
      <c r="H120" s="6">
        <v>0</v>
      </c>
      <c r="I120" s="2"/>
      <c r="J120" s="7">
        <f t="shared" si="71"/>
        <v>0</v>
      </c>
      <c r="K120" s="2"/>
      <c r="L120" s="6">
        <f t="shared" si="72"/>
        <v>0</v>
      </c>
      <c r="M120" s="2"/>
      <c r="N120" s="7">
        <f t="shared" si="73"/>
        <v>0</v>
      </c>
      <c r="O120" s="11"/>
      <c r="P120" s="6">
        <v>23160.29</v>
      </c>
      <c r="Q120" s="2"/>
      <c r="R120" s="7">
        <f t="shared" si="74"/>
        <v>6.1966702898094235E-3</v>
      </c>
      <c r="S120" s="2"/>
      <c r="T120" s="6">
        <v>16162</v>
      </c>
      <c r="U120" s="2"/>
      <c r="V120" s="7">
        <f t="shared" si="75"/>
        <v>3.1645216436480775E-3</v>
      </c>
      <c r="W120" s="2"/>
      <c r="X120" s="6">
        <f t="shared" si="76"/>
        <v>6998.2900000000009</v>
      </c>
      <c r="Y120" s="2"/>
      <c r="Z120" s="7">
        <f t="shared" si="77"/>
        <v>0.43300890978839257</v>
      </c>
    </row>
    <row r="121" spans="1:26" s="24" customFormat="1" hidden="1" outlineLevel="2" x14ac:dyDescent="0.3">
      <c r="A121" s="29"/>
      <c r="B121" s="11" t="str">
        <f>CONCATENATE("          ", "6254", " - ", "ROYALTY &amp; COMMISSIONS")</f>
        <v xml:space="preserve">          6254 - ROYALTY &amp; COMMISSIONS</v>
      </c>
      <c r="C121" s="11"/>
      <c r="D121" s="6">
        <v>0</v>
      </c>
      <c r="E121" s="2"/>
      <c r="F121" s="7">
        <f t="shared" si="70"/>
        <v>0</v>
      </c>
      <c r="G121" s="2"/>
      <c r="H121" s="6">
        <v>0</v>
      </c>
      <c r="I121" s="2"/>
      <c r="J121" s="7">
        <f t="shared" si="71"/>
        <v>0</v>
      </c>
      <c r="K121" s="2"/>
      <c r="L121" s="6">
        <f t="shared" si="72"/>
        <v>0</v>
      </c>
      <c r="M121" s="2"/>
      <c r="N121" s="7">
        <f t="shared" si="73"/>
        <v>0</v>
      </c>
      <c r="O121" s="11"/>
      <c r="P121" s="6">
        <v>-7027.5</v>
      </c>
      <c r="Q121" s="2"/>
      <c r="R121" s="7">
        <f t="shared" si="74"/>
        <v>-1.8802484969590502E-3</v>
      </c>
      <c r="S121" s="2"/>
      <c r="T121" s="6">
        <v>0</v>
      </c>
      <c r="U121" s="2"/>
      <c r="V121" s="7">
        <f t="shared" si="75"/>
        <v>0</v>
      </c>
      <c r="W121" s="2"/>
      <c r="X121" s="6">
        <f t="shared" si="76"/>
        <v>-7027.5</v>
      </c>
      <c r="Y121" s="2"/>
      <c r="Z121" s="7">
        <f t="shared" si="77"/>
        <v>0</v>
      </c>
    </row>
    <row r="122" spans="1:26" s="24" customFormat="1" hidden="1" outlineLevel="2" x14ac:dyDescent="0.3">
      <c r="A122" s="29"/>
      <c r="B122" s="11" t="str">
        <f>CONCATENATE("          ", "6259", " - ", "ROYALTY &amp; COMMISSIONS")</f>
        <v xml:space="preserve">          6259 - ROYALTY &amp; COMMISSIONS</v>
      </c>
      <c r="C122" s="11"/>
      <c r="D122" s="6">
        <v>1121.23</v>
      </c>
      <c r="E122" s="2"/>
      <c r="F122" s="7">
        <f t="shared" si="70"/>
        <v>2.1954722396699154E-3</v>
      </c>
      <c r="G122" s="2"/>
      <c r="H122" s="6">
        <v>3612</v>
      </c>
      <c r="I122" s="2"/>
      <c r="J122" s="7">
        <f t="shared" si="71"/>
        <v>8.2628558095059444E-3</v>
      </c>
      <c r="K122" s="2"/>
      <c r="L122" s="6">
        <f t="shared" si="72"/>
        <v>-2490.77</v>
      </c>
      <c r="M122" s="2"/>
      <c r="N122" s="7">
        <f t="shared" si="73"/>
        <v>-0.68958194905869319</v>
      </c>
      <c r="O122" s="11"/>
      <c r="P122" s="6">
        <v>5614.14</v>
      </c>
      <c r="Q122" s="2"/>
      <c r="R122" s="7">
        <f t="shared" si="74"/>
        <v>1.502095808853459E-3</v>
      </c>
      <c r="S122" s="2"/>
      <c r="T122" s="6">
        <v>22972</v>
      </c>
      <c r="U122" s="2"/>
      <c r="V122" s="7">
        <f t="shared" si="75"/>
        <v>4.4979205047570615E-3</v>
      </c>
      <c r="W122" s="2"/>
      <c r="X122" s="6">
        <f t="shared" si="76"/>
        <v>-17357.86</v>
      </c>
      <c r="Y122" s="2"/>
      <c r="Z122" s="7">
        <f t="shared" si="77"/>
        <v>-0.75560943757617971</v>
      </c>
    </row>
    <row r="123" spans="1:26" s="28" customFormat="1" outlineLevel="1" collapsed="1" x14ac:dyDescent="0.3">
      <c r="A123" s="27"/>
      <c r="B123" s="14" t="str">
        <f>CONCATENATE("     ","Services                                          ")</f>
        <v xml:space="preserve">     Services                                          </v>
      </c>
      <c r="C123" s="14"/>
      <c r="D123" s="1">
        <f>SUM(OSRRefD22_19x_0)</f>
        <v>5257.82</v>
      </c>
      <c r="E123" s="1"/>
      <c r="F123" s="5">
        <f t="shared" ref="F123:F127" si="78">IF(D$12=0,0,D123/D$12)</f>
        <v>1.0295298780073021E-2</v>
      </c>
      <c r="G123" s="1"/>
      <c r="H123" s="1">
        <f>SUM(OSRRefH22_19x_0)</f>
        <v>4712</v>
      </c>
      <c r="I123" s="1"/>
      <c r="J123" s="5">
        <f t="shared" ref="J123:J127" si="79">IF(H$12=0,0,H123/H$12)</f>
        <v>1.0779229394903658E-2</v>
      </c>
      <c r="K123" s="1"/>
      <c r="L123" s="1">
        <f t="shared" ref="L123:L127" si="80">+D123-H123</f>
        <v>545.81999999999971</v>
      </c>
      <c r="M123" s="1"/>
      <c r="N123" s="5">
        <f t="shared" ref="N123:N127" si="81">IF(H123=0,0,L123/H123)</f>
        <v>0.11583616298811539</v>
      </c>
      <c r="O123" s="14"/>
      <c r="P123" s="1">
        <f>SUM(OSRRefP22_19x_0)</f>
        <v>45589.93</v>
      </c>
      <c r="Q123" s="1"/>
      <c r="R123" s="5">
        <f t="shared" ref="R123:R127" si="82">IF(P$12=0,0,P123/P$12)</f>
        <v>1.2197850922656465E-2</v>
      </c>
      <c r="S123" s="1"/>
      <c r="T123" s="1">
        <f>SUM(OSRRefT22_19x_0)</f>
        <v>27749</v>
      </c>
      <c r="U123" s="1"/>
      <c r="V123" s="5">
        <f t="shared" ref="V123:V127" si="83">IF(T$12=0,0,T123/T$12)</f>
        <v>5.4332577087978281E-3</v>
      </c>
      <c r="W123" s="1"/>
      <c r="X123" s="1">
        <f t="shared" ref="X123:X127" si="84">+P123-T123</f>
        <v>17840.93</v>
      </c>
      <c r="Y123" s="1"/>
      <c r="Z123" s="5">
        <f t="shared" ref="Z123:Z127" si="85">IF(T123=0,0,X123/T123)</f>
        <v>0.64293956538974384</v>
      </c>
    </row>
    <row r="124" spans="1:26" s="24" customFormat="1" hidden="1" outlineLevel="2" x14ac:dyDescent="0.3">
      <c r="A124" s="29"/>
      <c r="B124" s="11" t="str">
        <f>CONCATENATE("          ", "6282", " - ", "JANITORIAL/EXTERMINATOR EXPENS")</f>
        <v xml:space="preserve">          6282 - JANITORIAL/EXTERMINATOR EXPENS</v>
      </c>
      <c r="C124" s="11"/>
      <c r="D124" s="6">
        <v>587.25</v>
      </c>
      <c r="E124" s="2"/>
      <c r="F124" s="7">
        <f t="shared" si="78"/>
        <v>1.1498899179884215E-3</v>
      </c>
      <c r="G124" s="2"/>
      <c r="H124" s="6">
        <v>4558</v>
      </c>
      <c r="I124" s="2"/>
      <c r="J124" s="7">
        <f t="shared" si="79"/>
        <v>1.0426937092947978E-2</v>
      </c>
      <c r="K124" s="2"/>
      <c r="L124" s="6">
        <f t="shared" si="80"/>
        <v>-3970.75</v>
      </c>
      <c r="M124" s="2"/>
      <c r="N124" s="7">
        <f t="shared" si="81"/>
        <v>-0.87116059675296187</v>
      </c>
      <c r="O124" s="11"/>
      <c r="P124" s="6">
        <v>4046.18</v>
      </c>
      <c r="Q124" s="2"/>
      <c r="R124" s="7">
        <f t="shared" si="82"/>
        <v>1.0825789915938483E-3</v>
      </c>
      <c r="S124" s="2"/>
      <c r="T124" s="6">
        <v>27090</v>
      </c>
      <c r="U124" s="2"/>
      <c r="V124" s="7">
        <f t="shared" si="83"/>
        <v>5.3042254254687801E-3</v>
      </c>
      <c r="W124" s="2"/>
      <c r="X124" s="6">
        <f t="shared" si="84"/>
        <v>-23043.82</v>
      </c>
      <c r="Y124" s="2"/>
      <c r="Z124" s="7">
        <f t="shared" si="85"/>
        <v>-0.85063935031376892</v>
      </c>
    </row>
    <row r="125" spans="1:26" s="24" customFormat="1" hidden="1" outlineLevel="2" x14ac:dyDescent="0.3">
      <c r="A125" s="29"/>
      <c r="B125" s="11" t="str">
        <f>CONCATENATE("          ", "6284", " - ", "TRASH REMOVAL EXPENSE")</f>
        <v xml:space="preserve">          6284 - TRASH REMOVAL EXPENSE</v>
      </c>
      <c r="C125" s="11"/>
      <c r="D125" s="6">
        <v>149.69999999999999</v>
      </c>
      <c r="E125" s="2"/>
      <c r="F125" s="7">
        <f t="shared" si="78"/>
        <v>2.9312647206958991E-4</v>
      </c>
      <c r="G125" s="2"/>
      <c r="H125" s="6">
        <v>120</v>
      </c>
      <c r="I125" s="2"/>
      <c r="J125" s="7">
        <f t="shared" si="79"/>
        <v>2.7451348204338686E-4</v>
      </c>
      <c r="K125" s="2"/>
      <c r="L125" s="6">
        <f t="shared" si="80"/>
        <v>29.699999999999989</v>
      </c>
      <c r="M125" s="2"/>
      <c r="N125" s="7">
        <f t="shared" si="81"/>
        <v>0.24749999999999991</v>
      </c>
      <c r="O125" s="11"/>
      <c r="P125" s="6">
        <v>891.07</v>
      </c>
      <c r="Q125" s="2"/>
      <c r="R125" s="7">
        <f t="shared" si="82"/>
        <v>2.3841096096553551E-4</v>
      </c>
      <c r="S125" s="2"/>
      <c r="T125" s="6">
        <v>480</v>
      </c>
      <c r="U125" s="2"/>
      <c r="V125" s="7">
        <f t="shared" si="83"/>
        <v>9.3984060694906403E-5</v>
      </c>
      <c r="W125" s="2"/>
      <c r="X125" s="6">
        <f t="shared" si="84"/>
        <v>411.07000000000005</v>
      </c>
      <c r="Y125" s="2"/>
      <c r="Z125" s="7">
        <f t="shared" si="85"/>
        <v>0.85639583333333347</v>
      </c>
    </row>
    <row r="126" spans="1:26" s="24" customFormat="1" hidden="1" outlineLevel="2" x14ac:dyDescent="0.3">
      <c r="A126" s="29"/>
      <c r="B126" s="11" t="str">
        <f>CONCATENATE("          ", "6285", " - ", "JANITORIAL SERVICES")</f>
        <v xml:space="preserve">          6285 - JANITORIAL SERVICES</v>
      </c>
      <c r="C126" s="11"/>
      <c r="D126" s="6">
        <v>4406.71</v>
      </c>
      <c r="E126" s="2"/>
      <c r="F126" s="7">
        <f t="shared" si="78"/>
        <v>8.6287465312877946E-3</v>
      </c>
      <c r="G126" s="2"/>
      <c r="H126" s="6"/>
      <c r="I126" s="2"/>
      <c r="J126" s="7">
        <f t="shared" si="79"/>
        <v>0</v>
      </c>
      <c r="K126" s="2"/>
      <c r="L126" s="6">
        <f t="shared" si="80"/>
        <v>4406.71</v>
      </c>
      <c r="M126" s="2"/>
      <c r="N126" s="7">
        <f t="shared" si="81"/>
        <v>0</v>
      </c>
      <c r="O126" s="11"/>
      <c r="P126" s="6">
        <v>40226.879999999997</v>
      </c>
      <c r="Q126" s="2"/>
      <c r="R126" s="7">
        <f t="shared" si="82"/>
        <v>1.0762935703643126E-2</v>
      </c>
      <c r="S126" s="2"/>
      <c r="T126" s="6"/>
      <c r="U126" s="2"/>
      <c r="V126" s="7">
        <f t="shared" si="83"/>
        <v>0</v>
      </c>
      <c r="W126" s="2"/>
      <c r="X126" s="6">
        <f t="shared" si="84"/>
        <v>40226.879999999997</v>
      </c>
      <c r="Y126" s="2"/>
      <c r="Z126" s="7">
        <f t="shared" si="85"/>
        <v>0</v>
      </c>
    </row>
    <row r="127" spans="1:26" s="24" customFormat="1" hidden="1" outlineLevel="2" x14ac:dyDescent="0.3">
      <c r="A127" s="29"/>
      <c r="B127" s="11" t="str">
        <f>CONCATENATE("          ", "6286", " - ", "LAUNDRY EXPENSE")</f>
        <v xml:space="preserve">          6286 - LAUNDRY EXPENSE</v>
      </c>
      <c r="C127" s="11"/>
      <c r="D127" s="6">
        <v>114.16</v>
      </c>
      <c r="E127" s="2"/>
      <c r="F127" s="7">
        <f t="shared" si="78"/>
        <v>2.2353585872721701E-4</v>
      </c>
      <c r="G127" s="2"/>
      <c r="H127" s="6">
        <v>34</v>
      </c>
      <c r="I127" s="2"/>
      <c r="J127" s="7">
        <f t="shared" si="79"/>
        <v>7.777881991229294E-5</v>
      </c>
      <c r="K127" s="2"/>
      <c r="L127" s="6">
        <f t="shared" si="80"/>
        <v>80.16</v>
      </c>
      <c r="M127" s="2"/>
      <c r="N127" s="7">
        <f t="shared" si="81"/>
        <v>2.3576470588235292</v>
      </c>
      <c r="O127" s="11"/>
      <c r="P127" s="6">
        <v>425.8</v>
      </c>
      <c r="Q127" s="2"/>
      <c r="R127" s="7">
        <f t="shared" si="82"/>
        <v>1.1392526645395427E-4</v>
      </c>
      <c r="S127" s="2"/>
      <c r="T127" s="6">
        <v>179</v>
      </c>
      <c r="U127" s="2"/>
      <c r="V127" s="7">
        <f t="shared" si="83"/>
        <v>3.5048222634142174E-5</v>
      </c>
      <c r="W127" s="2"/>
      <c r="X127" s="6">
        <f t="shared" si="84"/>
        <v>246.8</v>
      </c>
      <c r="Y127" s="2"/>
      <c r="Z127" s="7">
        <f t="shared" si="85"/>
        <v>1.3787709497206704</v>
      </c>
    </row>
    <row r="128" spans="1:26" s="28" customFormat="1" outlineLevel="1" collapsed="1" x14ac:dyDescent="0.3">
      <c r="A128" s="27"/>
      <c r="B128" s="14" t="str">
        <f>CONCATENATE("     ","Subscriptions &amp; Dues                              ")</f>
        <v xml:space="preserve">     Subscriptions &amp; Dues                              </v>
      </c>
      <c r="C128" s="14"/>
      <c r="D128" s="1">
        <f>SUM(OSRRefD22_20x_0)</f>
        <v>286.24</v>
      </c>
      <c r="E128" s="1"/>
      <c r="F128" s="5">
        <f t="shared" ref="F128:F130" si="86">IF(D$12=0,0,D128/D$12)</f>
        <v>5.6048444465731085E-4</v>
      </c>
      <c r="G128" s="1"/>
      <c r="H128" s="1">
        <f>SUM(OSRRefH22_20x_0)</f>
        <v>1361</v>
      </c>
      <c r="I128" s="1"/>
      <c r="J128" s="5">
        <f t="shared" ref="J128:J130" si="87">IF(H$12=0,0,H128/H$12)</f>
        <v>3.1134404088420794E-3</v>
      </c>
      <c r="K128" s="1"/>
      <c r="L128" s="1">
        <f t="shared" ref="L128:L130" si="88">+D128-H128</f>
        <v>-1074.76</v>
      </c>
      <c r="M128" s="1"/>
      <c r="N128" s="5">
        <f t="shared" ref="N128:N130" si="89">IF(H128=0,0,L128/H128)</f>
        <v>-0.7896840558412932</v>
      </c>
      <c r="O128" s="14"/>
      <c r="P128" s="1">
        <f>SUM(OSRRefP22_20x_0)</f>
        <v>1391.74</v>
      </c>
      <c r="Q128" s="1"/>
      <c r="R128" s="5">
        <f t="shared" ref="R128:R130" si="90">IF(P$12=0,0,P128/P$12)</f>
        <v>3.7236813136361273E-4</v>
      </c>
      <c r="S128" s="1"/>
      <c r="T128" s="1">
        <f>SUM(OSRRefT22_20x_0)</f>
        <v>6621</v>
      </c>
      <c r="U128" s="1"/>
      <c r="V128" s="5">
        <f t="shared" ref="V128:V130" si="91">IF(T$12=0,0,T128/T$12)</f>
        <v>1.2963926372103651E-3</v>
      </c>
      <c r="W128" s="1"/>
      <c r="X128" s="1">
        <f t="shared" ref="X128:X130" si="92">+P128-T128</f>
        <v>-5229.26</v>
      </c>
      <c r="Y128" s="1"/>
      <c r="Z128" s="5">
        <f t="shared" ref="Z128:Z130" si="93">IF(T128=0,0,X128/T128)</f>
        <v>-0.78979912399939589</v>
      </c>
    </row>
    <row r="129" spans="1:26" s="24" customFormat="1" hidden="1" outlineLevel="2" x14ac:dyDescent="0.3">
      <c r="A129" s="29"/>
      <c r="B129" s="11" t="str">
        <f>CONCATENATE("          ", "6258", " - ", "MEMBERSHIP DUES")</f>
        <v xml:space="preserve">          6258 - MEMBERSHIP DUES</v>
      </c>
      <c r="C129" s="11"/>
      <c r="D129" s="6">
        <v>286.24</v>
      </c>
      <c r="E129" s="2"/>
      <c r="F129" s="7">
        <f t="shared" si="86"/>
        <v>5.6048444465731085E-4</v>
      </c>
      <c r="G129" s="2"/>
      <c r="H129" s="6">
        <v>1300</v>
      </c>
      <c r="I129" s="2"/>
      <c r="J129" s="7">
        <f t="shared" si="87"/>
        <v>2.9738960554700242E-3</v>
      </c>
      <c r="K129" s="2"/>
      <c r="L129" s="6">
        <f t="shared" si="88"/>
        <v>-1013.76</v>
      </c>
      <c r="M129" s="2"/>
      <c r="N129" s="7">
        <f t="shared" si="89"/>
        <v>-0.77981538461538458</v>
      </c>
      <c r="O129" s="11"/>
      <c r="P129" s="6">
        <v>1391.74</v>
      </c>
      <c r="Q129" s="2"/>
      <c r="R129" s="7">
        <f t="shared" si="90"/>
        <v>3.7236813136361273E-4</v>
      </c>
      <c r="S129" s="2"/>
      <c r="T129" s="6">
        <v>6195</v>
      </c>
      <c r="U129" s="2"/>
      <c r="V129" s="7">
        <f t="shared" si="91"/>
        <v>1.2129817833436357E-3</v>
      </c>
      <c r="W129" s="2"/>
      <c r="X129" s="6">
        <f t="shared" si="92"/>
        <v>-4803.26</v>
      </c>
      <c r="Y129" s="2"/>
      <c r="Z129" s="7">
        <f t="shared" si="93"/>
        <v>-0.77534463276836163</v>
      </c>
    </row>
    <row r="130" spans="1:26" s="24" customFormat="1" hidden="1" outlineLevel="2" x14ac:dyDescent="0.3">
      <c r="A130" s="29"/>
      <c r="B130" s="11" t="str">
        <f>CONCATENATE("          ", "6275", " - ", "SUBSCRIPTIONS")</f>
        <v xml:space="preserve">          6275 - SUBSCRIPTIONS</v>
      </c>
      <c r="C130" s="11"/>
      <c r="D130" s="6"/>
      <c r="E130" s="2"/>
      <c r="F130" s="7">
        <f t="shared" si="86"/>
        <v>0</v>
      </c>
      <c r="G130" s="2"/>
      <c r="H130" s="6">
        <v>61</v>
      </c>
      <c r="I130" s="2"/>
      <c r="J130" s="7">
        <f t="shared" si="87"/>
        <v>1.39544353372055E-4</v>
      </c>
      <c r="K130" s="2"/>
      <c r="L130" s="6">
        <f t="shared" si="88"/>
        <v>-61</v>
      </c>
      <c r="M130" s="2"/>
      <c r="N130" s="7">
        <f t="shared" si="89"/>
        <v>-1</v>
      </c>
      <c r="O130" s="11"/>
      <c r="P130" s="6"/>
      <c r="Q130" s="2"/>
      <c r="R130" s="7">
        <f t="shared" si="90"/>
        <v>0</v>
      </c>
      <c r="S130" s="2"/>
      <c r="T130" s="6">
        <v>426</v>
      </c>
      <c r="U130" s="2"/>
      <c r="V130" s="7">
        <f t="shared" si="91"/>
        <v>8.3410853866729427E-5</v>
      </c>
      <c r="W130" s="2"/>
      <c r="X130" s="6">
        <f t="shared" si="92"/>
        <v>-426</v>
      </c>
      <c r="Y130" s="2"/>
      <c r="Z130" s="7">
        <f t="shared" si="93"/>
        <v>-1</v>
      </c>
    </row>
    <row r="131" spans="1:26" s="28" customFormat="1" outlineLevel="1" collapsed="1" x14ac:dyDescent="0.3">
      <c r="A131" s="27"/>
      <c r="B131" s="14" t="str">
        <f>CONCATENATE("     ","Supplies                                          ")</f>
        <v xml:space="preserve">     Supplies                                          </v>
      </c>
      <c r="C131" s="14"/>
      <c r="D131" s="1">
        <f>SUM(OSRRefD22_21x_0)</f>
        <v>6159.8700000000008</v>
      </c>
      <c r="E131" s="1"/>
      <c r="F131" s="5">
        <f t="shared" ref="F131:F138" si="94">IF(D$12=0,0,D131/D$12)</f>
        <v>1.2061596269253877E-2</v>
      </c>
      <c r="G131" s="1"/>
      <c r="H131" s="1">
        <f>SUM(OSRRefH22_21x_0)</f>
        <v>9280</v>
      </c>
      <c r="I131" s="1"/>
      <c r="J131" s="5">
        <f t="shared" ref="J131:J138" si="95">IF(H$12=0,0,H131/H$12)</f>
        <v>2.1229042611355251E-2</v>
      </c>
      <c r="K131" s="1"/>
      <c r="L131" s="1">
        <f t="shared" ref="L131:L138" si="96">+D131-H131</f>
        <v>-3120.1299999999992</v>
      </c>
      <c r="M131" s="1"/>
      <c r="N131" s="5">
        <f t="shared" ref="N131:N138" si="97">IF(H131=0,0,L131/H131)</f>
        <v>-0.33622090517241371</v>
      </c>
      <c r="O131" s="14"/>
      <c r="P131" s="1">
        <f>SUM(OSRRefP22_21x_0)</f>
        <v>55481.08</v>
      </c>
      <c r="Q131" s="1"/>
      <c r="R131" s="5">
        <f t="shared" ref="R131:R138" si="98">IF(P$12=0,0,P131/P$12)</f>
        <v>1.4844285632111679E-2</v>
      </c>
      <c r="S131" s="1"/>
      <c r="T131" s="1">
        <f>SUM(OSRRefT22_21x_0)</f>
        <v>71010</v>
      </c>
      <c r="U131" s="1"/>
      <c r="V131" s="5">
        <f t="shared" ref="V131:V138" si="99">IF(T$12=0,0,T131/T$12)</f>
        <v>1.3903766979052715E-2</v>
      </c>
      <c r="W131" s="1"/>
      <c r="X131" s="1">
        <f t="shared" ref="X131:X138" si="100">+P131-T131</f>
        <v>-15528.919999999998</v>
      </c>
      <c r="Y131" s="1"/>
      <c r="Z131" s="5">
        <f t="shared" ref="Z131:Z138" si="101">IF(T131=0,0,X131/T131)</f>
        <v>-0.21868638219969017</v>
      </c>
    </row>
    <row r="132" spans="1:26" s="24" customFormat="1" hidden="1" outlineLevel="2" x14ac:dyDescent="0.3">
      <c r="A132" s="29"/>
      <c r="B132" s="11" t="str">
        <f>CONCATENATE("          ", "6234", " - ", "EXPENDABLE SUPPLIES &amp; EQUIPMEN")</f>
        <v xml:space="preserve">          6234 - EXPENDABLE SUPPLIES &amp; EQUIPMEN</v>
      </c>
      <c r="C132" s="11"/>
      <c r="D132" s="6"/>
      <c r="E132" s="2"/>
      <c r="F132" s="7">
        <f t="shared" si="94"/>
        <v>0</v>
      </c>
      <c r="G132" s="2"/>
      <c r="H132" s="6">
        <v>350</v>
      </c>
      <c r="I132" s="2"/>
      <c r="J132" s="7">
        <f t="shared" si="95"/>
        <v>8.0066432262654503E-4</v>
      </c>
      <c r="K132" s="2"/>
      <c r="L132" s="6">
        <f t="shared" si="96"/>
        <v>-350</v>
      </c>
      <c r="M132" s="2"/>
      <c r="N132" s="7">
        <f t="shared" si="97"/>
        <v>-1</v>
      </c>
      <c r="O132" s="11"/>
      <c r="P132" s="6">
        <v>6484.46</v>
      </c>
      <c r="Q132" s="2"/>
      <c r="R132" s="7">
        <f t="shared" si="98"/>
        <v>1.7349549866369381E-3</v>
      </c>
      <c r="S132" s="2"/>
      <c r="T132" s="6">
        <v>1600</v>
      </c>
      <c r="U132" s="2"/>
      <c r="V132" s="7">
        <f t="shared" si="99"/>
        <v>3.1328020231635468E-4</v>
      </c>
      <c r="W132" s="2"/>
      <c r="X132" s="6">
        <f t="shared" si="100"/>
        <v>4884.46</v>
      </c>
      <c r="Y132" s="2"/>
      <c r="Z132" s="7">
        <f t="shared" si="101"/>
        <v>3.0527875</v>
      </c>
    </row>
    <row r="133" spans="1:26" s="24" customFormat="1" hidden="1" outlineLevel="2" x14ac:dyDescent="0.3">
      <c r="A133" s="29"/>
      <c r="B133" s="11" t="str">
        <f>CONCATENATE("          ", "6235", " - ", "COVID-19 EXPENSES")</f>
        <v xml:space="preserve">          6235 - COVID-19 EXPENSES</v>
      </c>
      <c r="C133" s="11"/>
      <c r="D133" s="6"/>
      <c r="E133" s="2"/>
      <c r="F133" s="7">
        <f t="shared" si="94"/>
        <v>0</v>
      </c>
      <c r="G133" s="2"/>
      <c r="H133" s="6">
        <v>125</v>
      </c>
      <c r="I133" s="2"/>
      <c r="J133" s="7">
        <f t="shared" si="95"/>
        <v>2.8595154379519464E-4</v>
      </c>
      <c r="K133" s="2"/>
      <c r="L133" s="6">
        <f t="shared" si="96"/>
        <v>-125</v>
      </c>
      <c r="M133" s="2"/>
      <c r="N133" s="7">
        <f t="shared" si="97"/>
        <v>-1</v>
      </c>
      <c r="O133" s="11"/>
      <c r="P133" s="6">
        <v>3430.32</v>
      </c>
      <c r="Q133" s="2"/>
      <c r="R133" s="7">
        <f t="shared" si="98"/>
        <v>9.17802066750419E-4</v>
      </c>
      <c r="S133" s="2"/>
      <c r="T133" s="6">
        <v>750</v>
      </c>
      <c r="U133" s="2"/>
      <c r="V133" s="7">
        <f t="shared" si="99"/>
        <v>1.4685009483579126E-4</v>
      </c>
      <c r="W133" s="2"/>
      <c r="X133" s="6">
        <f t="shared" si="100"/>
        <v>2680.32</v>
      </c>
      <c r="Y133" s="2"/>
      <c r="Z133" s="7">
        <f t="shared" si="101"/>
        <v>3.57376</v>
      </c>
    </row>
    <row r="134" spans="1:26" s="24" customFormat="1" hidden="1" outlineLevel="2" x14ac:dyDescent="0.3">
      <c r="A134" s="29"/>
      <c r="B134" s="11" t="str">
        <f>CONCATENATE("          ", "6237", " - ", "JANITORIAL SUPPLIES")</f>
        <v xml:space="preserve">          6237 - JANITORIAL SUPPLIES</v>
      </c>
      <c r="C134" s="11"/>
      <c r="D134" s="6">
        <v>76.540000000000006</v>
      </c>
      <c r="E134" s="2"/>
      <c r="F134" s="7">
        <f t="shared" si="94"/>
        <v>1.4987241263998943E-4</v>
      </c>
      <c r="G134" s="2"/>
      <c r="H134" s="6">
        <v>50</v>
      </c>
      <c r="I134" s="2"/>
      <c r="J134" s="7">
        <f t="shared" si="95"/>
        <v>1.1438061751807785E-4</v>
      </c>
      <c r="K134" s="2"/>
      <c r="L134" s="6">
        <f t="shared" si="96"/>
        <v>26.540000000000006</v>
      </c>
      <c r="M134" s="2"/>
      <c r="N134" s="7">
        <f t="shared" si="97"/>
        <v>0.53080000000000016</v>
      </c>
      <c r="O134" s="11"/>
      <c r="P134" s="6">
        <v>4469.8599999999997</v>
      </c>
      <c r="Q134" s="2"/>
      <c r="R134" s="7">
        <f t="shared" si="98"/>
        <v>1.1959370397178768E-3</v>
      </c>
      <c r="S134" s="2"/>
      <c r="T134" s="6">
        <v>240</v>
      </c>
      <c r="U134" s="2"/>
      <c r="V134" s="7">
        <f t="shared" si="99"/>
        <v>4.6992030347453202E-5</v>
      </c>
      <c r="W134" s="2"/>
      <c r="X134" s="6">
        <f t="shared" si="100"/>
        <v>4229.8599999999997</v>
      </c>
      <c r="Y134" s="2"/>
      <c r="Z134" s="7">
        <f t="shared" si="101"/>
        <v>17.624416666666665</v>
      </c>
    </row>
    <row r="135" spans="1:26" s="24" customFormat="1" hidden="1" outlineLevel="2" x14ac:dyDescent="0.3">
      <c r="A135" s="29"/>
      <c r="B135" s="11" t="str">
        <f>CONCATENATE("          ", "6241", " - ", "OFFICE EXPENSE")</f>
        <v xml:space="preserve">          6241 - OFFICE EXPENSE</v>
      </c>
      <c r="C135" s="11"/>
      <c r="D135" s="6">
        <v>892.08</v>
      </c>
      <c r="E135" s="2"/>
      <c r="F135" s="7">
        <f t="shared" si="94"/>
        <v>1.7467753053028712E-3</v>
      </c>
      <c r="G135" s="2"/>
      <c r="H135" s="6">
        <v>970</v>
      </c>
      <c r="I135" s="2"/>
      <c r="J135" s="7">
        <f t="shared" si="95"/>
        <v>2.2189839798507104E-3</v>
      </c>
      <c r="K135" s="2"/>
      <c r="L135" s="6">
        <f t="shared" si="96"/>
        <v>-77.919999999999959</v>
      </c>
      <c r="M135" s="2"/>
      <c r="N135" s="7">
        <f t="shared" si="97"/>
        <v>-8.0329896907216453E-2</v>
      </c>
      <c r="O135" s="11"/>
      <c r="P135" s="6">
        <v>8610.9699999999993</v>
      </c>
      <c r="Q135" s="2"/>
      <c r="R135" s="7">
        <f t="shared" si="98"/>
        <v>2.3039151049248623E-3</v>
      </c>
      <c r="S135" s="2"/>
      <c r="T135" s="6">
        <v>3620</v>
      </c>
      <c r="U135" s="2"/>
      <c r="V135" s="7">
        <f t="shared" si="99"/>
        <v>7.0879645774075246E-4</v>
      </c>
      <c r="W135" s="2"/>
      <c r="X135" s="6">
        <f t="shared" si="100"/>
        <v>4990.9699999999993</v>
      </c>
      <c r="Y135" s="2"/>
      <c r="Z135" s="7">
        <f t="shared" si="101"/>
        <v>1.378720994475138</v>
      </c>
    </row>
    <row r="136" spans="1:26" s="24" customFormat="1" hidden="1" outlineLevel="2" x14ac:dyDescent="0.3">
      <c r="A136" s="29"/>
      <c r="B136" s="11" t="str">
        <f>CONCATENATE("          ", "6243", " - ", "PAPER SUPPLIES")</f>
        <v xml:space="preserve">          6243 - PAPER SUPPLIES</v>
      </c>
      <c r="C136" s="11"/>
      <c r="D136" s="6"/>
      <c r="E136" s="2"/>
      <c r="F136" s="7">
        <f t="shared" si="94"/>
        <v>0</v>
      </c>
      <c r="G136" s="2"/>
      <c r="H136" s="6">
        <v>1400</v>
      </c>
      <c r="I136" s="2"/>
      <c r="J136" s="7">
        <f t="shared" si="95"/>
        <v>3.2026572905061801E-3</v>
      </c>
      <c r="K136" s="2"/>
      <c r="L136" s="6">
        <f t="shared" si="96"/>
        <v>-1400</v>
      </c>
      <c r="M136" s="2"/>
      <c r="N136" s="7">
        <f t="shared" si="97"/>
        <v>-1</v>
      </c>
      <c r="O136" s="11"/>
      <c r="P136" s="6">
        <v>4470.8999999999996</v>
      </c>
      <c r="Q136" s="2"/>
      <c r="R136" s="7">
        <f t="shared" si="98"/>
        <v>1.1962152977665196E-3</v>
      </c>
      <c r="S136" s="2"/>
      <c r="T136" s="6">
        <v>19900</v>
      </c>
      <c r="U136" s="2"/>
      <c r="V136" s="7">
        <f t="shared" si="99"/>
        <v>3.8964225163096609E-3</v>
      </c>
      <c r="W136" s="2"/>
      <c r="X136" s="6">
        <f t="shared" si="100"/>
        <v>-15429.1</v>
      </c>
      <c r="Y136" s="2"/>
      <c r="Z136" s="7">
        <f t="shared" si="101"/>
        <v>-0.77533165829145734</v>
      </c>
    </row>
    <row r="137" spans="1:26" s="24" customFormat="1" hidden="1" outlineLevel="2" x14ac:dyDescent="0.3">
      <c r="A137" s="29"/>
      <c r="B137" s="11" t="str">
        <f>CONCATENATE("          ", "6245", " - ", "PRINTING")</f>
        <v xml:space="preserve">          6245 - PRINTING</v>
      </c>
      <c r="C137" s="11"/>
      <c r="D137" s="6">
        <v>1046.49</v>
      </c>
      <c r="E137" s="2"/>
      <c r="F137" s="7">
        <f t="shared" si="94"/>
        <v>2.0491243938283582E-3</v>
      </c>
      <c r="G137" s="2"/>
      <c r="H137" s="6">
        <v>160</v>
      </c>
      <c r="I137" s="2"/>
      <c r="J137" s="7">
        <f t="shared" si="95"/>
        <v>3.6601797605784913E-4</v>
      </c>
      <c r="K137" s="2"/>
      <c r="L137" s="6">
        <f t="shared" si="96"/>
        <v>886.49</v>
      </c>
      <c r="M137" s="2"/>
      <c r="N137" s="7">
        <f t="shared" si="97"/>
        <v>5.5405625000000001</v>
      </c>
      <c r="O137" s="11"/>
      <c r="P137" s="6">
        <v>2111.98</v>
      </c>
      <c r="Q137" s="2"/>
      <c r="R137" s="7">
        <f t="shared" si="98"/>
        <v>5.6507253228140516E-4</v>
      </c>
      <c r="S137" s="2"/>
      <c r="T137" s="6">
        <v>2145</v>
      </c>
      <c r="U137" s="2"/>
      <c r="V137" s="7">
        <f t="shared" si="99"/>
        <v>4.1999127123036297E-4</v>
      </c>
      <c r="W137" s="2"/>
      <c r="X137" s="6">
        <f t="shared" si="100"/>
        <v>-33.019999999999982</v>
      </c>
      <c r="Y137" s="2"/>
      <c r="Z137" s="7">
        <f t="shared" si="101"/>
        <v>-1.5393939393939385E-2</v>
      </c>
    </row>
    <row r="138" spans="1:26" s="24" customFormat="1" hidden="1" outlineLevel="2" x14ac:dyDescent="0.3">
      <c r="A138" s="29"/>
      <c r="B138" s="11" t="str">
        <f>CONCATENATE("          ", "6247", " - ", "STORE SUPPLIES")</f>
        <v xml:space="preserve">          6247 - STORE SUPPLIES</v>
      </c>
      <c r="C138" s="11"/>
      <c r="D138" s="6">
        <v>4144.76</v>
      </c>
      <c r="E138" s="2"/>
      <c r="F138" s="7">
        <f t="shared" si="94"/>
        <v>8.115824157482656E-3</v>
      </c>
      <c r="G138" s="2"/>
      <c r="H138" s="6">
        <v>6225</v>
      </c>
      <c r="I138" s="2"/>
      <c r="J138" s="7">
        <f t="shared" si="95"/>
        <v>1.4240386881000693E-2</v>
      </c>
      <c r="K138" s="2"/>
      <c r="L138" s="6">
        <f t="shared" si="96"/>
        <v>-2080.2399999999998</v>
      </c>
      <c r="M138" s="2"/>
      <c r="N138" s="7">
        <f t="shared" si="97"/>
        <v>-0.33417510040160642</v>
      </c>
      <c r="O138" s="11"/>
      <c r="P138" s="6">
        <v>25902.59</v>
      </c>
      <c r="Q138" s="2"/>
      <c r="R138" s="7">
        <f t="shared" si="98"/>
        <v>6.9303886040336564E-3</v>
      </c>
      <c r="S138" s="2"/>
      <c r="T138" s="6">
        <v>42755</v>
      </c>
      <c r="U138" s="2"/>
      <c r="V138" s="7">
        <f t="shared" si="99"/>
        <v>8.3714344062723392E-3</v>
      </c>
      <c r="W138" s="2"/>
      <c r="X138" s="6">
        <f t="shared" si="100"/>
        <v>-16852.41</v>
      </c>
      <c r="Y138" s="2"/>
      <c r="Z138" s="7">
        <f t="shared" si="101"/>
        <v>-0.39416232019646824</v>
      </c>
    </row>
    <row r="139" spans="1:26" s="28" customFormat="1" outlineLevel="1" collapsed="1" x14ac:dyDescent="0.3">
      <c r="A139" s="27"/>
      <c r="B139" s="14" t="str">
        <f>CONCATENATE("     ","Telephone/Data Lines                              ")</f>
        <v xml:space="preserve">     Telephone/Data Lines                              </v>
      </c>
      <c r="C139" s="14"/>
      <c r="D139" s="1">
        <f>SUM(OSRRefD22_22x_0)</f>
        <v>1769.01</v>
      </c>
      <c r="E139" s="1"/>
      <c r="F139" s="5">
        <f t="shared" ref="F139:F141" si="102">IF(D$12=0,0,D139/D$12)</f>
        <v>3.4638855067189401E-3</v>
      </c>
      <c r="G139" s="1"/>
      <c r="H139" s="1">
        <f>SUM(OSRRefH22_22x_0)</f>
        <v>2063</v>
      </c>
      <c r="I139" s="1"/>
      <c r="J139" s="5">
        <f t="shared" ref="J139:J141" si="103">IF(H$12=0,0,H139/H$12)</f>
        <v>4.7193442787958921E-3</v>
      </c>
      <c r="K139" s="1"/>
      <c r="L139" s="1">
        <f t="shared" ref="L139:L141" si="104">+D139-H139</f>
        <v>-293.99</v>
      </c>
      <c r="M139" s="1"/>
      <c r="N139" s="5">
        <f t="shared" ref="N139:N141" si="105">IF(H139=0,0,L139/H139)</f>
        <v>-0.14250605913717887</v>
      </c>
      <c r="O139" s="14"/>
      <c r="P139" s="1">
        <f>SUM(OSRRefP22_22x_0)</f>
        <v>11813.36</v>
      </c>
      <c r="Q139" s="1"/>
      <c r="R139" s="5">
        <f t="shared" ref="R139:R141" si="106">IF(P$12=0,0,P139/P$12)</f>
        <v>3.1607331745337839E-3</v>
      </c>
      <c r="S139" s="1"/>
      <c r="T139" s="1">
        <f>SUM(OSRRefT22_22x_0)</f>
        <v>11978</v>
      </c>
      <c r="U139" s="1"/>
      <c r="V139" s="5">
        <f t="shared" ref="V139:V141" si="107">IF(T$12=0,0,T139/T$12)</f>
        <v>2.3452939145908102E-3</v>
      </c>
      <c r="W139" s="1"/>
      <c r="X139" s="1">
        <f t="shared" ref="X139:X141" si="108">+P139-T139</f>
        <v>-164.63999999999942</v>
      </c>
      <c r="Y139" s="1"/>
      <c r="Z139" s="5">
        <f t="shared" ref="Z139:Z141" si="109">IF(T139=0,0,X139/T139)</f>
        <v>-1.3745199532476158E-2</v>
      </c>
    </row>
    <row r="140" spans="1:26" s="24" customFormat="1" hidden="1" outlineLevel="2" x14ac:dyDescent="0.3">
      <c r="A140" s="29"/>
      <c r="B140" s="11" t="str">
        <f>CONCATENATE("          ", "6303", " - ", "DATA PHONE LINES")</f>
        <v xml:space="preserve">          6303 - DATA PHONE LINES</v>
      </c>
      <c r="C140" s="11"/>
      <c r="D140" s="6"/>
      <c r="E140" s="2"/>
      <c r="F140" s="7">
        <f t="shared" si="102"/>
        <v>0</v>
      </c>
      <c r="G140" s="2"/>
      <c r="H140" s="6">
        <v>50</v>
      </c>
      <c r="I140" s="2"/>
      <c r="J140" s="7">
        <f t="shared" si="103"/>
        <v>1.1438061751807785E-4</v>
      </c>
      <c r="K140" s="2"/>
      <c r="L140" s="6">
        <f t="shared" si="104"/>
        <v>-50</v>
      </c>
      <c r="M140" s="2"/>
      <c r="N140" s="7">
        <f t="shared" si="105"/>
        <v>-1</v>
      </c>
      <c r="O140" s="11"/>
      <c r="P140" s="6">
        <v>295</v>
      </c>
      <c r="Q140" s="2"/>
      <c r="R140" s="7">
        <f t="shared" si="106"/>
        <v>7.8928965720799688E-5</v>
      </c>
      <c r="S140" s="2"/>
      <c r="T140" s="6">
        <v>300</v>
      </c>
      <c r="U140" s="2"/>
      <c r="V140" s="7">
        <f t="shared" si="107"/>
        <v>5.8740037934316499E-5</v>
      </c>
      <c r="W140" s="2"/>
      <c r="X140" s="6">
        <f t="shared" si="108"/>
        <v>-5</v>
      </c>
      <c r="Y140" s="2"/>
      <c r="Z140" s="7">
        <f t="shared" si="109"/>
        <v>-1.6666666666666666E-2</v>
      </c>
    </row>
    <row r="141" spans="1:26" s="24" customFormat="1" hidden="1" outlineLevel="2" x14ac:dyDescent="0.3">
      <c r="A141" s="29"/>
      <c r="B141" s="11" t="str">
        <f>CONCATENATE("          ", "6309", " - ", "TELEPHONE")</f>
        <v xml:space="preserve">          6309 - TELEPHONE</v>
      </c>
      <c r="C141" s="11"/>
      <c r="D141" s="6">
        <v>1769.01</v>
      </c>
      <c r="E141" s="2"/>
      <c r="F141" s="7">
        <f t="shared" si="102"/>
        <v>3.4638855067189401E-3</v>
      </c>
      <c r="G141" s="2"/>
      <c r="H141" s="6">
        <v>2013</v>
      </c>
      <c r="I141" s="2"/>
      <c r="J141" s="7">
        <f t="shared" si="103"/>
        <v>4.6049636612778147E-3</v>
      </c>
      <c r="K141" s="2"/>
      <c r="L141" s="6">
        <f t="shared" si="104"/>
        <v>-243.99</v>
      </c>
      <c r="M141" s="2"/>
      <c r="N141" s="7">
        <f t="shared" si="105"/>
        <v>-0.12120715350223547</v>
      </c>
      <c r="O141" s="11"/>
      <c r="P141" s="6">
        <v>11518.36</v>
      </c>
      <c r="Q141" s="2"/>
      <c r="R141" s="7">
        <f t="shared" si="106"/>
        <v>3.0818042088129843E-3</v>
      </c>
      <c r="S141" s="2"/>
      <c r="T141" s="6">
        <v>11678</v>
      </c>
      <c r="U141" s="2"/>
      <c r="V141" s="7">
        <f t="shared" si="107"/>
        <v>2.2865538766564937E-3</v>
      </c>
      <c r="W141" s="2"/>
      <c r="X141" s="6">
        <f t="shared" si="108"/>
        <v>-159.63999999999942</v>
      </c>
      <c r="Y141" s="2"/>
      <c r="Z141" s="7">
        <f t="shared" si="109"/>
        <v>-1.3670148998116066E-2</v>
      </c>
    </row>
    <row r="142" spans="1:26" s="28" customFormat="1" outlineLevel="1" collapsed="1" x14ac:dyDescent="0.3">
      <c r="A142" s="27"/>
      <c r="B142" s="14" t="str">
        <f>CONCATENATE("     ","Training                                          ")</f>
        <v xml:space="preserve">     Training                                          </v>
      </c>
      <c r="C142" s="14"/>
      <c r="D142" s="1">
        <f>SUM(OSRRefD22_23x_0)</f>
        <v>0</v>
      </c>
      <c r="E142" s="1"/>
      <c r="F142" s="5">
        <f t="shared" ref="F142:F147" si="110">IF(D$12=0,0,D142/D$12)</f>
        <v>0</v>
      </c>
      <c r="G142" s="1"/>
      <c r="H142" s="1">
        <f>SUM(OSRRefH22_23x_0)</f>
        <v>0</v>
      </c>
      <c r="I142" s="1"/>
      <c r="J142" s="5">
        <f t="shared" ref="J142:J147" si="111">IF(H$12=0,0,H142/H$12)</f>
        <v>0</v>
      </c>
      <c r="K142" s="1"/>
      <c r="L142" s="1">
        <f t="shared" ref="L142:L147" si="112">+D142-H142</f>
        <v>0</v>
      </c>
      <c r="M142" s="1"/>
      <c r="N142" s="5">
        <f t="shared" ref="N142:N147" si="113">IF(H142=0,0,L142/H142)</f>
        <v>0</v>
      </c>
      <c r="O142" s="14"/>
      <c r="P142" s="1">
        <f>SUM(OSRRefP22_23x_0)</f>
        <v>595</v>
      </c>
      <c r="Q142" s="1"/>
      <c r="R142" s="5">
        <f t="shared" ref="R142:R147" si="114">IF(P$12=0,0,P142/P$12)</f>
        <v>1.5919571052161292E-4</v>
      </c>
      <c r="S142" s="1"/>
      <c r="T142" s="1">
        <f>SUM(OSRRefT22_23x_0)</f>
        <v>75</v>
      </c>
      <c r="U142" s="1"/>
      <c r="V142" s="5">
        <f t="shared" ref="V142:V147" si="115">IF(T$12=0,0,T142/T$12)</f>
        <v>1.4685009483579125E-5</v>
      </c>
      <c r="W142" s="1"/>
      <c r="X142" s="1">
        <f t="shared" ref="X142:X147" si="116">+P142-T142</f>
        <v>520</v>
      </c>
      <c r="Y142" s="1"/>
      <c r="Z142" s="5">
        <f t="shared" ref="Z142:Z147" si="117">IF(T142=0,0,X142/T142)</f>
        <v>6.9333333333333336</v>
      </c>
    </row>
    <row r="143" spans="1:26" s="24" customFormat="1" hidden="1" outlineLevel="2" x14ac:dyDescent="0.3">
      <c r="A143" s="29"/>
      <c r="B143" s="11" t="str">
        <f>CONCATENATE("          ", "6376", " - ", "TRAINING")</f>
        <v xml:space="preserve">          6376 - TRAINING</v>
      </c>
      <c r="C143" s="11"/>
      <c r="D143" s="6"/>
      <c r="E143" s="2"/>
      <c r="F143" s="7">
        <f t="shared" si="110"/>
        <v>0</v>
      </c>
      <c r="G143" s="2"/>
      <c r="H143" s="6">
        <v>0</v>
      </c>
      <c r="I143" s="2"/>
      <c r="J143" s="7">
        <f t="shared" si="111"/>
        <v>0</v>
      </c>
      <c r="K143" s="2"/>
      <c r="L143" s="6">
        <f t="shared" si="112"/>
        <v>0</v>
      </c>
      <c r="M143" s="2"/>
      <c r="N143" s="7">
        <f t="shared" si="113"/>
        <v>0</v>
      </c>
      <c r="O143" s="11"/>
      <c r="P143" s="6">
        <v>595</v>
      </c>
      <c r="Q143" s="2"/>
      <c r="R143" s="7">
        <f t="shared" si="114"/>
        <v>1.5919571052161292E-4</v>
      </c>
      <c r="S143" s="2"/>
      <c r="T143" s="6">
        <v>75</v>
      </c>
      <c r="U143" s="2"/>
      <c r="V143" s="7">
        <f t="shared" si="115"/>
        <v>1.4685009483579125E-5</v>
      </c>
      <c r="W143" s="2"/>
      <c r="X143" s="6">
        <f t="shared" si="116"/>
        <v>520</v>
      </c>
      <c r="Y143" s="2"/>
      <c r="Z143" s="7">
        <f t="shared" si="117"/>
        <v>6.9333333333333336</v>
      </c>
    </row>
    <row r="144" spans="1:26" s="28" customFormat="1" outlineLevel="1" collapsed="1" x14ac:dyDescent="0.3">
      <c r="A144" s="27"/>
      <c r="B144" s="14" t="str">
        <f>CONCATENATE("     ","Travel                                            ")</f>
        <v xml:space="preserve">     Travel                                            </v>
      </c>
      <c r="C144" s="14"/>
      <c r="D144" s="1">
        <f>SUM(OSRRefD22_24x_0)</f>
        <v>24.4</v>
      </c>
      <c r="E144" s="1"/>
      <c r="F144" s="5">
        <f t="shared" si="110"/>
        <v>4.7777461045410786E-5</v>
      </c>
      <c r="G144" s="1"/>
      <c r="H144" s="1">
        <f>SUM(OSRRefH22_24x_0)</f>
        <v>350</v>
      </c>
      <c r="I144" s="1"/>
      <c r="J144" s="5">
        <f t="shared" si="111"/>
        <v>8.0066432262654503E-4</v>
      </c>
      <c r="K144" s="1"/>
      <c r="L144" s="1">
        <f t="shared" si="112"/>
        <v>-325.60000000000002</v>
      </c>
      <c r="M144" s="1"/>
      <c r="N144" s="5">
        <f t="shared" si="113"/>
        <v>-0.93028571428571438</v>
      </c>
      <c r="O144" s="14"/>
      <c r="P144" s="1">
        <f>SUM(OSRRefP22_24x_0)</f>
        <v>882.0100000000001</v>
      </c>
      <c r="Q144" s="1"/>
      <c r="R144" s="5">
        <f t="shared" si="114"/>
        <v>2.3598690527255097E-4</v>
      </c>
      <c r="S144" s="1"/>
      <c r="T144" s="1">
        <f>SUM(OSRRefT22_24x_0)</f>
        <v>1300</v>
      </c>
      <c r="U144" s="1"/>
      <c r="V144" s="5">
        <f t="shared" si="115"/>
        <v>2.5454016438203813E-4</v>
      </c>
      <c r="W144" s="1"/>
      <c r="X144" s="1">
        <f t="shared" si="116"/>
        <v>-417.9899999999999</v>
      </c>
      <c r="Y144" s="1"/>
      <c r="Z144" s="5">
        <f t="shared" si="117"/>
        <v>-0.32153076923076918</v>
      </c>
    </row>
    <row r="145" spans="1:26" s="24" customFormat="1" hidden="1" outlineLevel="2" x14ac:dyDescent="0.3">
      <c r="A145" s="29"/>
      <c r="B145" s="11" t="str">
        <f>CONCATENATE("          ", "6292", " - ", "TRAVEL/CONFERENCE")</f>
        <v xml:space="preserve">          6292 - TRAVEL/CONFERENCE</v>
      </c>
      <c r="C145" s="11"/>
      <c r="D145" s="6"/>
      <c r="E145" s="2"/>
      <c r="F145" s="7">
        <f t="shared" si="110"/>
        <v>0</v>
      </c>
      <c r="G145" s="2"/>
      <c r="H145" s="6">
        <v>125</v>
      </c>
      <c r="I145" s="2"/>
      <c r="J145" s="7">
        <f t="shared" si="111"/>
        <v>2.8595154379519464E-4</v>
      </c>
      <c r="K145" s="2"/>
      <c r="L145" s="6">
        <f t="shared" si="112"/>
        <v>-125</v>
      </c>
      <c r="M145" s="2"/>
      <c r="N145" s="7">
        <f t="shared" si="113"/>
        <v>-1</v>
      </c>
      <c r="O145" s="11"/>
      <c r="P145" s="6">
        <v>495</v>
      </c>
      <c r="Q145" s="2"/>
      <c r="R145" s="7">
        <f t="shared" si="114"/>
        <v>1.3244012892134184E-4</v>
      </c>
      <c r="S145" s="2"/>
      <c r="T145" s="6">
        <v>750</v>
      </c>
      <c r="U145" s="2"/>
      <c r="V145" s="7">
        <f t="shared" si="115"/>
        <v>1.4685009483579126E-4</v>
      </c>
      <c r="W145" s="2"/>
      <c r="X145" s="6">
        <f t="shared" si="116"/>
        <v>-255</v>
      </c>
      <c r="Y145" s="2"/>
      <c r="Z145" s="7">
        <f t="shared" si="117"/>
        <v>-0.34</v>
      </c>
    </row>
    <row r="146" spans="1:26" s="24" customFormat="1" hidden="1" outlineLevel="2" x14ac:dyDescent="0.3">
      <c r="A146" s="29"/>
      <c r="B146" s="11" t="str">
        <f>CONCATENATE("          ", "6294", " - ", "TRAVEL OPERATIONAL")</f>
        <v xml:space="preserve">          6294 - TRAVEL OPERATIONAL</v>
      </c>
      <c r="C146" s="11"/>
      <c r="D146" s="6">
        <v>24.4</v>
      </c>
      <c r="E146" s="2"/>
      <c r="F146" s="7">
        <f t="shared" si="110"/>
        <v>4.7777461045410786E-5</v>
      </c>
      <c r="G146" s="2"/>
      <c r="H146" s="6">
        <v>25</v>
      </c>
      <c r="I146" s="2"/>
      <c r="J146" s="7">
        <f t="shared" si="111"/>
        <v>5.7190308759038925E-5</v>
      </c>
      <c r="K146" s="2"/>
      <c r="L146" s="6">
        <f t="shared" si="112"/>
        <v>-0.60000000000000142</v>
      </c>
      <c r="M146" s="2"/>
      <c r="N146" s="7">
        <f t="shared" si="113"/>
        <v>-2.4000000000000056E-2</v>
      </c>
      <c r="O146" s="11"/>
      <c r="P146" s="6">
        <v>239.93</v>
      </c>
      <c r="Q146" s="2"/>
      <c r="R146" s="7">
        <f t="shared" si="114"/>
        <v>6.4194666933530404E-5</v>
      </c>
      <c r="S146" s="2"/>
      <c r="T146" s="6">
        <v>150</v>
      </c>
      <c r="U146" s="2"/>
      <c r="V146" s="7">
        <f t="shared" si="115"/>
        <v>2.9370018967158249E-5</v>
      </c>
      <c r="W146" s="2"/>
      <c r="X146" s="6">
        <f t="shared" si="116"/>
        <v>89.93</v>
      </c>
      <c r="Y146" s="2"/>
      <c r="Z146" s="7">
        <f t="shared" si="117"/>
        <v>0.59953333333333336</v>
      </c>
    </row>
    <row r="147" spans="1:26" s="24" customFormat="1" hidden="1" outlineLevel="2" x14ac:dyDescent="0.3">
      <c r="A147" s="29"/>
      <c r="B147" s="11" t="str">
        <f>CONCATENATE("          ", "6298", " - ", "VEHICLE MILEAGE")</f>
        <v xml:space="preserve">          6298 - VEHICLE MILEAGE</v>
      </c>
      <c r="C147" s="11"/>
      <c r="D147" s="6"/>
      <c r="E147" s="2"/>
      <c r="F147" s="7">
        <f t="shared" si="110"/>
        <v>0</v>
      </c>
      <c r="G147" s="2"/>
      <c r="H147" s="6">
        <v>200</v>
      </c>
      <c r="I147" s="2"/>
      <c r="J147" s="7">
        <f t="shared" si="111"/>
        <v>4.575224700723114E-4</v>
      </c>
      <c r="K147" s="2"/>
      <c r="L147" s="6">
        <f t="shared" si="112"/>
        <v>-200</v>
      </c>
      <c r="M147" s="2"/>
      <c r="N147" s="7">
        <f t="shared" si="113"/>
        <v>-1</v>
      </c>
      <c r="O147" s="11"/>
      <c r="P147" s="6">
        <v>147.08000000000001</v>
      </c>
      <c r="Q147" s="2"/>
      <c r="R147" s="7">
        <f t="shared" si="114"/>
        <v>3.9352109417678706E-5</v>
      </c>
      <c r="S147" s="2"/>
      <c r="T147" s="6">
        <v>400</v>
      </c>
      <c r="U147" s="2"/>
      <c r="V147" s="7">
        <f t="shared" si="115"/>
        <v>7.8320050579088669E-5</v>
      </c>
      <c r="W147" s="2"/>
      <c r="X147" s="6">
        <f t="shared" si="116"/>
        <v>-252.92</v>
      </c>
      <c r="Y147" s="2"/>
      <c r="Z147" s="7">
        <f t="shared" si="117"/>
        <v>-0.63229999999999997</v>
      </c>
    </row>
    <row r="148" spans="1:26" s="28" customFormat="1" outlineLevel="1" collapsed="1" x14ac:dyDescent="0.3">
      <c r="A148" s="27"/>
      <c r="B148" s="14" t="str">
        <f>CONCATENATE("     ","Utilities                                         ")</f>
        <v xml:space="preserve">     Utilities                                         </v>
      </c>
      <c r="C148" s="14"/>
      <c r="D148" s="1">
        <f>SUM(OSRRefD22_25x_0)</f>
        <v>162.91999999999999</v>
      </c>
      <c r="E148" s="1"/>
      <c r="F148" s="5">
        <f t="shared" ref="F148:F149" si="118">IF(D$12=0,0,D148/D$12)</f>
        <v>3.1901245711140675E-4</v>
      </c>
      <c r="G148" s="1"/>
      <c r="H148" s="1">
        <f>SUM(OSRRefH22_25x_0)</f>
        <v>6120</v>
      </c>
      <c r="I148" s="1"/>
      <c r="J148" s="5">
        <f t="shared" ref="J148:J149" si="119">IF(H$12=0,0,H148/H$12)</f>
        <v>1.4000187584212729E-2</v>
      </c>
      <c r="K148" s="1"/>
      <c r="L148" s="1">
        <f t="shared" ref="L148:L149" si="120">+D148-H148</f>
        <v>-5957.08</v>
      </c>
      <c r="M148" s="1"/>
      <c r="N148" s="5">
        <f t="shared" ref="N148:N149" si="121">IF(H148=0,0,L148/H148)</f>
        <v>-0.97337908496732028</v>
      </c>
      <c r="O148" s="14"/>
      <c r="P148" s="1">
        <f>SUM(OSRRefP22_25x_0)</f>
        <v>30846.51</v>
      </c>
      <c r="Q148" s="1"/>
      <c r="R148" s="5">
        <f t="shared" ref="R148:R149" si="122">IF(P$12=0,0,P148/P$12)</f>
        <v>8.2531631538857782E-3</v>
      </c>
      <c r="S148" s="1"/>
      <c r="T148" s="1">
        <f>SUM(OSRRefT22_25x_0)</f>
        <v>36720</v>
      </c>
      <c r="U148" s="1"/>
      <c r="V148" s="5">
        <f t="shared" ref="V148:V149" si="123">IF(T$12=0,0,T148/T$12)</f>
        <v>7.189780643160339E-3</v>
      </c>
      <c r="W148" s="1"/>
      <c r="X148" s="1">
        <f t="shared" ref="X148:X149" si="124">+P148-T148</f>
        <v>-5873.4900000000016</v>
      </c>
      <c r="Y148" s="1"/>
      <c r="Z148" s="5">
        <f t="shared" ref="Z148:Z149" si="125">IF(T148=0,0,X148/T148)</f>
        <v>-0.15995343137254905</v>
      </c>
    </row>
    <row r="149" spans="1:26" s="24" customFormat="1" hidden="1" outlineLevel="2" x14ac:dyDescent="0.3">
      <c r="A149" s="29"/>
      <c r="B149" s="11" t="str">
        <f>CONCATENATE("          ", "6274", " - ", "UTILITIES")</f>
        <v xml:space="preserve">          6274 - UTILITIES</v>
      </c>
      <c r="C149" s="11"/>
      <c r="D149" s="6">
        <v>162.91999999999999</v>
      </c>
      <c r="E149" s="2"/>
      <c r="F149" s="7">
        <f t="shared" si="118"/>
        <v>3.1901245711140675E-4</v>
      </c>
      <c r="G149" s="2"/>
      <c r="H149" s="6">
        <v>6120</v>
      </c>
      <c r="I149" s="2"/>
      <c r="J149" s="7">
        <f t="shared" si="119"/>
        <v>1.4000187584212729E-2</v>
      </c>
      <c r="K149" s="2"/>
      <c r="L149" s="6">
        <f t="shared" si="120"/>
        <v>-5957.08</v>
      </c>
      <c r="M149" s="2"/>
      <c r="N149" s="7">
        <f t="shared" si="121"/>
        <v>-0.97337908496732028</v>
      </c>
      <c r="O149" s="11"/>
      <c r="P149" s="6">
        <v>30846.51</v>
      </c>
      <c r="Q149" s="2"/>
      <c r="R149" s="7">
        <f t="shared" si="122"/>
        <v>8.2531631538857782E-3</v>
      </c>
      <c r="S149" s="2"/>
      <c r="T149" s="6">
        <v>36720</v>
      </c>
      <c r="U149" s="2"/>
      <c r="V149" s="7">
        <f t="shared" si="123"/>
        <v>7.189780643160339E-3</v>
      </c>
      <c r="W149" s="2"/>
      <c r="X149" s="6">
        <f t="shared" si="124"/>
        <v>-5873.4900000000016</v>
      </c>
      <c r="Y149" s="2"/>
      <c r="Z149" s="7">
        <f t="shared" si="125"/>
        <v>-0.15995343137254905</v>
      </c>
    </row>
    <row r="150" spans="1:26" s="55" customFormat="1" x14ac:dyDescent="0.3">
      <c r="A150" s="36"/>
      <c r="B150" s="36"/>
      <c r="C150" s="36"/>
      <c r="D150" s="1"/>
      <c r="E150" s="1"/>
      <c r="F150" s="5"/>
      <c r="G150" s="1"/>
      <c r="H150" s="1"/>
      <c r="I150" s="1"/>
      <c r="J150" s="5"/>
      <c r="K150" s="1"/>
      <c r="L150" s="1"/>
      <c r="M150" s="1"/>
      <c r="N150" s="5"/>
      <c r="O150" s="36"/>
      <c r="P150" s="1"/>
      <c r="Q150" s="1"/>
      <c r="R150" s="5"/>
      <c r="S150" s="1"/>
      <c r="T150" s="1"/>
      <c r="U150" s="1"/>
      <c r="V150" s="5"/>
      <c r="W150" s="1"/>
      <c r="X150" s="1"/>
      <c r="Y150" s="1"/>
      <c r="Z150" s="5"/>
    </row>
    <row r="151" spans="1:26" s="23" customFormat="1" collapsed="1" x14ac:dyDescent="0.3">
      <c r="A151" s="10"/>
      <c r="B151" s="25" t="s">
        <v>293</v>
      </c>
      <c r="C151" s="10"/>
      <c r="D151" s="4">
        <f>SUM(OSRRefD25x_0)</f>
        <v>13670.93</v>
      </c>
      <c r="E151" s="4"/>
      <c r="F151" s="12">
        <f t="shared" ref="F151:F156" si="126">IF(D$12=0,0,D151/D$12)</f>
        <v>2.6768947767604006E-2</v>
      </c>
      <c r="G151" s="4"/>
      <c r="H151" s="4">
        <f>SUM(OSRRefH25x_0)</f>
        <v>65715</v>
      </c>
      <c r="I151" s="4"/>
      <c r="J151" s="12">
        <f t="shared" ref="J151:J156" si="127">IF(H$12=0,0,H151/H$12)</f>
        <v>0.15033044560400974</v>
      </c>
      <c r="K151" s="4"/>
      <c r="L151" s="4">
        <f t="shared" ref="L151:L156" si="128">+D151-H151</f>
        <v>-52044.07</v>
      </c>
      <c r="M151" s="4"/>
      <c r="N151" s="12">
        <f t="shared" ref="N151:N156" si="129">IF(H151=0,0,L151/H151)</f>
        <v>-0.79196636993076164</v>
      </c>
      <c r="O151" s="10"/>
      <c r="P151" s="4">
        <f>SUM(OSRRefP25x_0)</f>
        <v>469908.72</v>
      </c>
      <c r="Q151" s="4"/>
      <c r="R151" s="12">
        <f t="shared" ref="R151:R156" si="130">IF(P$12=0,0,P151/P$12)</f>
        <v>0.12572681102638933</v>
      </c>
      <c r="S151" s="4"/>
      <c r="T151" s="4">
        <f>SUM(OSRRefT25x_0)</f>
        <v>402253.5</v>
      </c>
      <c r="U151" s="4"/>
      <c r="V151" s="12">
        <f t="shared" ref="V151:V156" si="131">IF(T$12=0,0,T151/T$12)</f>
        <v>7.8761286164038602E-2</v>
      </c>
      <c r="W151" s="4"/>
      <c r="X151" s="4">
        <f t="shared" ref="X151:X156" si="132">+P151-T151</f>
        <v>67655.219999999972</v>
      </c>
      <c r="Y151" s="4"/>
      <c r="Z151" s="12">
        <f t="shared" ref="Z151:Z156" si="133">IF(T151=0,0,X151/T151)</f>
        <v>0.16819050673269462</v>
      </c>
    </row>
    <row r="152" spans="1:26" s="24" customFormat="1" hidden="1" outlineLevel="1" x14ac:dyDescent="0.3">
      <c r="A152" s="44"/>
      <c r="B152" s="11" t="str">
        <f>CONCATENATE("          ", "9150", " - ", "MISC. INCOME")</f>
        <v xml:space="preserve">          9150 - MISC. INCOME</v>
      </c>
      <c r="C152" s="11"/>
      <c r="D152" s="2">
        <f>--12739.24</f>
        <v>12739.24</v>
      </c>
      <c r="E152" s="2"/>
      <c r="F152" s="19">
        <f t="shared" si="126"/>
        <v>2.494461241180897E-2</v>
      </c>
      <c r="G152" s="2"/>
      <c r="H152" s="2">
        <v>7382</v>
      </c>
      <c r="I152" s="2"/>
      <c r="J152" s="19">
        <f t="shared" si="127"/>
        <v>1.6887154370369015E-2</v>
      </c>
      <c r="K152" s="2"/>
      <c r="L152" s="2">
        <f t="shared" si="128"/>
        <v>5357.24</v>
      </c>
      <c r="M152" s="2"/>
      <c r="N152" s="19">
        <f t="shared" si="129"/>
        <v>0.725716607965321</v>
      </c>
      <c r="O152" s="11"/>
      <c r="P152" s="2">
        <f>--225570.06</f>
        <v>225570.06</v>
      </c>
      <c r="Q152" s="2"/>
      <c r="R152" s="19">
        <f t="shared" si="130"/>
        <v>6.0352581469080437E-2</v>
      </c>
      <c r="S152" s="2"/>
      <c r="T152" s="2">
        <v>95940</v>
      </c>
      <c r="U152" s="2"/>
      <c r="V152" s="19">
        <f t="shared" si="131"/>
        <v>1.8785064131394417E-2</v>
      </c>
      <c r="W152" s="2"/>
      <c r="X152" s="2">
        <f t="shared" si="132"/>
        <v>129630.06</v>
      </c>
      <c r="Y152" s="2"/>
      <c r="Z152" s="19">
        <f t="shared" si="133"/>
        <v>1.3511575984990618</v>
      </c>
    </row>
    <row r="153" spans="1:26" s="24" customFormat="1" hidden="1" outlineLevel="1" x14ac:dyDescent="0.3">
      <c r="A153" s="44"/>
      <c r="B153" s="11" t="str">
        <f>CONCATENATE("          ", "9151", " - ", "MISC. INCOME")</f>
        <v xml:space="preserve">          9151 - MISC. INCOME</v>
      </c>
      <c r="C153" s="11"/>
      <c r="D153" s="2">
        <f>0</f>
        <v>0</v>
      </c>
      <c r="E153" s="2"/>
      <c r="F153" s="19">
        <f t="shared" si="126"/>
        <v>0</v>
      </c>
      <c r="G153" s="2"/>
      <c r="H153" s="2"/>
      <c r="I153" s="2"/>
      <c r="J153" s="19">
        <f t="shared" si="127"/>
        <v>0</v>
      </c>
      <c r="K153" s="2"/>
      <c r="L153" s="2">
        <f t="shared" si="128"/>
        <v>0</v>
      </c>
      <c r="M153" s="2"/>
      <c r="N153" s="19">
        <f t="shared" si="129"/>
        <v>0</v>
      </c>
      <c r="O153" s="11"/>
      <c r="P153" s="2">
        <f>--168463.36</f>
        <v>168463.35999999999</v>
      </c>
      <c r="Q153" s="2"/>
      <c r="R153" s="19">
        <f t="shared" si="130"/>
        <v>4.5073351751358424E-2</v>
      </c>
      <c r="S153" s="2"/>
      <c r="T153" s="2">
        <v>247980.5</v>
      </c>
      <c r="U153" s="2"/>
      <c r="V153" s="19">
        <f t="shared" si="131"/>
        <v>4.8554613256569241E-2</v>
      </c>
      <c r="W153" s="2"/>
      <c r="X153" s="2">
        <f t="shared" si="132"/>
        <v>-79517.140000000014</v>
      </c>
      <c r="Y153" s="2"/>
      <c r="Z153" s="19">
        <f t="shared" si="133"/>
        <v>-0.32065884212669954</v>
      </c>
    </row>
    <row r="154" spans="1:26" s="24" customFormat="1" hidden="1" outlineLevel="1" x14ac:dyDescent="0.3">
      <c r="A154" s="44"/>
      <c r="B154" s="11" t="str">
        <f>CONCATENATE("          ", "9152", " - ", "MISC. INCOME")</f>
        <v xml:space="preserve">          9152 - MISC. INCOME</v>
      </c>
      <c r="C154" s="11"/>
      <c r="D154" s="2">
        <f>--931.69</f>
        <v>931.69</v>
      </c>
      <c r="E154" s="2"/>
      <c r="F154" s="19">
        <f t="shared" si="126"/>
        <v>1.824335355795032E-3</v>
      </c>
      <c r="G154" s="2"/>
      <c r="H154" s="2"/>
      <c r="I154" s="2"/>
      <c r="J154" s="19">
        <f t="shared" si="127"/>
        <v>0</v>
      </c>
      <c r="K154" s="2"/>
      <c r="L154" s="2">
        <f t="shared" si="128"/>
        <v>931.69</v>
      </c>
      <c r="M154" s="2"/>
      <c r="N154" s="19">
        <f t="shared" si="129"/>
        <v>0</v>
      </c>
      <c r="O154" s="11"/>
      <c r="P154" s="2">
        <f>--3127.1</f>
        <v>3127.1</v>
      </c>
      <c r="Q154" s="2"/>
      <c r="R154" s="19">
        <f t="shared" si="130"/>
        <v>8.3667379222207691E-4</v>
      </c>
      <c r="S154" s="2"/>
      <c r="T154" s="2"/>
      <c r="U154" s="2"/>
      <c r="V154" s="19">
        <f t="shared" si="131"/>
        <v>0</v>
      </c>
      <c r="W154" s="2"/>
      <c r="X154" s="2">
        <f t="shared" si="132"/>
        <v>3127.1</v>
      </c>
      <c r="Y154" s="2"/>
      <c r="Z154" s="19">
        <f t="shared" si="133"/>
        <v>0</v>
      </c>
    </row>
    <row r="155" spans="1:26" s="24" customFormat="1" hidden="1" outlineLevel="1" x14ac:dyDescent="0.3">
      <c r="A155" s="44"/>
      <c r="B155" s="11" t="str">
        <f>CONCATENATE("          ", "9160", " - ", "MISC. INCOME")</f>
        <v xml:space="preserve">          9160 - MISC. INCOME</v>
      </c>
      <c r="C155" s="11"/>
      <c r="D155" s="2">
        <f t="shared" ref="D155:D156" si="134">0</f>
        <v>0</v>
      </c>
      <c r="E155" s="2"/>
      <c r="F155" s="19">
        <f t="shared" si="126"/>
        <v>0</v>
      </c>
      <c r="G155" s="2"/>
      <c r="H155" s="2">
        <v>58333</v>
      </c>
      <c r="I155" s="2"/>
      <c r="J155" s="19">
        <f t="shared" si="127"/>
        <v>0.13344329123364071</v>
      </c>
      <c r="K155" s="2"/>
      <c r="L155" s="2">
        <f t="shared" si="128"/>
        <v>-58333</v>
      </c>
      <c r="M155" s="2"/>
      <c r="N155" s="19">
        <f t="shared" si="129"/>
        <v>-1</v>
      </c>
      <c r="O155" s="11"/>
      <c r="P155" s="2">
        <f>0</f>
        <v>0</v>
      </c>
      <c r="Q155" s="2"/>
      <c r="R155" s="19">
        <f t="shared" si="130"/>
        <v>0</v>
      </c>
      <c r="S155" s="2"/>
      <c r="T155" s="2">
        <v>58333</v>
      </c>
      <c r="U155" s="2"/>
      <c r="V155" s="19">
        <f t="shared" si="131"/>
        <v>1.1421608776074947E-2</v>
      </c>
      <c r="W155" s="2"/>
      <c r="X155" s="2">
        <f t="shared" si="132"/>
        <v>-58333</v>
      </c>
      <c r="Y155" s="2"/>
      <c r="Z155" s="19">
        <f t="shared" si="133"/>
        <v>-1</v>
      </c>
    </row>
    <row r="156" spans="1:26" s="24" customFormat="1" hidden="1" outlineLevel="1" x14ac:dyDescent="0.3">
      <c r="A156" s="44"/>
      <c r="B156" s="11" t="str">
        <f>CONCATENATE("          ", "9163", " - ", "MISC. INCOME")</f>
        <v xml:space="preserve">          9163 - MISC. INCOME</v>
      </c>
      <c r="C156" s="11"/>
      <c r="D156" s="2">
        <f t="shared" si="134"/>
        <v>0</v>
      </c>
      <c r="E156" s="2"/>
      <c r="F156" s="19">
        <f t="shared" si="126"/>
        <v>0</v>
      </c>
      <c r="G156" s="2"/>
      <c r="H156" s="2"/>
      <c r="I156" s="2"/>
      <c r="J156" s="19">
        <f t="shared" si="127"/>
        <v>0</v>
      </c>
      <c r="K156" s="2"/>
      <c r="L156" s="2">
        <f t="shared" si="128"/>
        <v>0</v>
      </c>
      <c r="M156" s="2"/>
      <c r="N156" s="19">
        <f t="shared" si="129"/>
        <v>0</v>
      </c>
      <c r="O156" s="11"/>
      <c r="P156" s="2">
        <f>--72748.2</f>
        <v>72748.2</v>
      </c>
      <c r="Q156" s="2"/>
      <c r="R156" s="19">
        <f t="shared" si="130"/>
        <v>1.9464204013728406E-2</v>
      </c>
      <c r="S156" s="2"/>
      <c r="T156" s="2"/>
      <c r="U156" s="2"/>
      <c r="V156" s="19">
        <f t="shared" si="131"/>
        <v>0</v>
      </c>
      <c r="W156" s="2"/>
      <c r="X156" s="2">
        <f t="shared" si="132"/>
        <v>72748.2</v>
      </c>
      <c r="Y156" s="2"/>
      <c r="Z156" s="19">
        <f t="shared" si="133"/>
        <v>0</v>
      </c>
    </row>
    <row r="157" spans="1:26" x14ac:dyDescent="0.3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3">
      <c r="A158" s="10"/>
      <c r="B158" s="26" t="s">
        <v>277</v>
      </c>
      <c r="C158" s="26"/>
      <c r="D158" s="20">
        <f>+D54-D56+D151</f>
        <v>-39543.519999999953</v>
      </c>
      <c r="E158" s="13"/>
      <c r="F158" s="22">
        <f>IF(D$12=0,0,D158/D$12)</f>
        <v>-7.7429876491738533E-2</v>
      </c>
      <c r="G158" s="13"/>
      <c r="H158" s="20">
        <f>+H54-H56+H151</f>
        <v>-48953.280731912819</v>
      </c>
      <c r="I158" s="13"/>
      <c r="J158" s="22">
        <f>IF(H$12=0,0,H158/H$12)</f>
        <v>-0.11198612959304022</v>
      </c>
      <c r="K158" s="16"/>
      <c r="L158" s="20">
        <f>+D158-H158</f>
        <v>9409.7607319128656</v>
      </c>
      <c r="M158" s="16"/>
      <c r="N158" s="22">
        <f>IF(H158=0,0,L158/H158)</f>
        <v>-0.19221920556140804</v>
      </c>
      <c r="O158" s="25"/>
      <c r="P158" s="20">
        <f>+P54-P56+P151</f>
        <v>-36462.749999999767</v>
      </c>
      <c r="Q158" s="13"/>
      <c r="R158" s="22">
        <f>IF(P$12=0,0,P158/P$12)</f>
        <v>-9.7558208299527802E-3</v>
      </c>
      <c r="S158" s="13"/>
      <c r="T158" s="20">
        <f>+T54-T56+T151</f>
        <v>107607.26301987469</v>
      </c>
      <c r="U158" s="13"/>
      <c r="V158" s="22">
        <f>IF(T$12=0,0,T158/T$12)</f>
        <v>2.1069515705984709E-2</v>
      </c>
      <c r="W158" s="16"/>
      <c r="X158" s="20">
        <f>+P158-T158</f>
        <v>-144070.01301987446</v>
      </c>
      <c r="Y158" s="16"/>
      <c r="Z158" s="22">
        <f>IF(T158=0,0,X158/T158)</f>
        <v>-1.3388502688082051</v>
      </c>
    </row>
    <row r="159" spans="1:26" x14ac:dyDescent="0.3">
      <c r="A159" s="9"/>
      <c r="B159" s="10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x14ac:dyDescent="0.3">
      <c r="A160" s="52"/>
      <c r="B160" s="10" t="s">
        <v>128</v>
      </c>
      <c r="C160" s="10"/>
      <c r="D160" s="4">
        <v>65536.3</v>
      </c>
      <c r="E160" s="4"/>
      <c r="F160" s="12">
        <f>IF(D$12=0,0,D160/D$12)</f>
        <v>0.12832614837337522</v>
      </c>
      <c r="G160" s="4"/>
      <c r="H160" s="4">
        <v>77420</v>
      </c>
      <c r="I160" s="4"/>
      <c r="J160" s="12">
        <f>IF(H$12=0,0,H160/H$12)</f>
        <v>0.17710694816499176</v>
      </c>
      <c r="K160" s="4"/>
      <c r="L160" s="4">
        <f>+D160-H160</f>
        <v>-11883.699999999997</v>
      </c>
      <c r="M160" s="4"/>
      <c r="N160" s="12">
        <f>IF(H160=0,0,L160/H160)</f>
        <v>-0.15349651252906221</v>
      </c>
      <c r="O160" s="10"/>
      <c r="P160" s="4">
        <v>449890.44</v>
      </c>
      <c r="Q160" s="4"/>
      <c r="R160" s="12">
        <f>IF(P$12=0,0,P160/P$12)</f>
        <v>0.12037080378601861</v>
      </c>
      <c r="S160" s="4"/>
      <c r="T160" s="4">
        <v>661242</v>
      </c>
      <c r="U160" s="4"/>
      <c r="V160" s="12">
        <f>IF(T$12=0,0,T160/T$12)</f>
        <v>0.12947126721254437</v>
      </c>
      <c r="W160" s="4"/>
      <c r="X160" s="4">
        <f>+P160-T160</f>
        <v>-211351.56</v>
      </c>
      <c r="Y160" s="4"/>
      <c r="Z160" s="12">
        <f>IF(T160=0,0,X160/T160)</f>
        <v>-0.31962815429146968</v>
      </c>
    </row>
    <row r="161" spans="1:26" x14ac:dyDescent="0.3">
      <c r="A161" s="9"/>
      <c r="B161" s="10"/>
      <c r="C161" s="10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O161" s="10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ht="15" thickBot="1" x14ac:dyDescent="0.35">
      <c r="A162" s="10"/>
      <c r="B162" s="26" t="s">
        <v>126</v>
      </c>
      <c r="C162" s="26"/>
      <c r="D162" s="31">
        <f>+D158-D160</f>
        <v>-105079.81999999995</v>
      </c>
      <c r="E162" s="13"/>
      <c r="F162" s="30">
        <f>IF(D$12=0,0,D162/D$12)</f>
        <v>-0.20575602486511374</v>
      </c>
      <c r="G162" s="13"/>
      <c r="H162" s="31">
        <f>+H158-H160</f>
        <v>-126373.28073191282</v>
      </c>
      <c r="I162" s="13"/>
      <c r="J162" s="30">
        <f>IF(H$12=0,0,H162/H$12)</f>
        <v>-0.28909307775803195</v>
      </c>
      <c r="K162" s="16"/>
      <c r="L162" s="31">
        <f>D162-H162</f>
        <v>21293.46073191287</v>
      </c>
      <c r="M162" s="16"/>
      <c r="N162" s="30">
        <f>IF(H162=0,0,L162/H162)</f>
        <v>-0.16849654142543496</v>
      </c>
      <c r="O162" s="25"/>
      <c r="P162" s="31">
        <f>+P158-P160</f>
        <v>-486353.18999999977</v>
      </c>
      <c r="Q162" s="13"/>
      <c r="R162" s="30">
        <f>IF(P$12=0,0,P162/P$12)</f>
        <v>-0.13012662461597138</v>
      </c>
      <c r="S162" s="13"/>
      <c r="T162" s="31">
        <f>+T158-T160</f>
        <v>-553634.73698012531</v>
      </c>
      <c r="U162" s="13"/>
      <c r="V162" s="30">
        <f>IF(T$12=0,0,T162/T$12)</f>
        <v>-0.10840175150655966</v>
      </c>
      <c r="W162" s="16"/>
      <c r="X162" s="31">
        <f>P162-T162</f>
        <v>67281.546980125539</v>
      </c>
      <c r="Y162" s="16"/>
      <c r="Z162" s="30">
        <f>IF(T162=0,0,X162/T162)</f>
        <v>-0.12152696080293252</v>
      </c>
    </row>
    <row r="163" spans="1:26" ht="15" thickTop="1" x14ac:dyDescent="0.3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x14ac:dyDescent="0.3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ht="15" thickBot="1" x14ac:dyDescent="0.35">
      <c r="A165" s="10"/>
      <c r="B165" s="26" t="s">
        <v>294</v>
      </c>
      <c r="C165" s="26"/>
      <c r="D165" s="35">
        <f>SUM(D162:D164)</f>
        <v>-105079.81999999995</v>
      </c>
      <c r="E165" s="13"/>
      <c r="F165" s="34">
        <f>IF(D$12=0,0,D165/D$12)</f>
        <v>-0.20575602486511374</v>
      </c>
      <c r="G165" s="13"/>
      <c r="H165" s="35">
        <f>SUM(H162:H164)</f>
        <v>-126373.28073191282</v>
      </c>
      <c r="I165" s="13"/>
      <c r="J165" s="34">
        <f>IF(H$12=0,0,H165/H$12)</f>
        <v>-0.28909307775803195</v>
      </c>
      <c r="K165" s="16"/>
      <c r="L165" s="35">
        <f>+D165-H165</f>
        <v>21293.46073191287</v>
      </c>
      <c r="M165" s="16"/>
      <c r="N165" s="34">
        <f>IF(H165=0,0,L165/H165)</f>
        <v>-0.16849654142543496</v>
      </c>
      <c r="O165" s="25"/>
      <c r="P165" s="35">
        <f>SUM(P162:P164)</f>
        <v>-486353.18999999977</v>
      </c>
      <c r="Q165" s="13"/>
      <c r="R165" s="34">
        <f>IF(P$12=0,0,P165/P$12)</f>
        <v>-0.13012662461597138</v>
      </c>
      <c r="S165" s="13"/>
      <c r="T165" s="35">
        <f>SUM(T162:T164)</f>
        <v>-553634.73698012531</v>
      </c>
      <c r="U165" s="13"/>
      <c r="V165" s="34">
        <f>IF(T$12=0,0,T165/T$12)</f>
        <v>-0.10840175150655966</v>
      </c>
      <c r="W165" s="16"/>
      <c r="X165" s="35">
        <f>+P165-T165</f>
        <v>67281.546980125539</v>
      </c>
      <c r="Y165" s="16"/>
      <c r="Z165" s="34">
        <f>IF(T165=0,0,X165/T165)</f>
        <v>-0.12152696080293252</v>
      </c>
    </row>
    <row r="166" spans="1:26" ht="15" thickTop="1" x14ac:dyDescent="0.3">
      <c r="A166" s="9"/>
      <c r="C166" s="9"/>
      <c r="D166" s="18"/>
      <c r="E166" s="18"/>
      <c r="G166" s="18"/>
      <c r="H166" s="18"/>
      <c r="I166" s="18"/>
      <c r="J166" s="43"/>
      <c r="K166" s="18"/>
      <c r="L166" s="18"/>
      <c r="M166" s="18"/>
      <c r="P166" s="18"/>
      <c r="Q166" s="18"/>
      <c r="R166" s="43"/>
      <c r="S166" s="18"/>
      <c r="T166" s="18"/>
      <c r="U166" s="18"/>
      <c r="V166" s="43"/>
      <c r="W166" s="18"/>
      <c r="X166" s="18"/>
    </row>
    <row r="167" spans="1:26" x14ac:dyDescent="0.3">
      <c r="A167" s="9"/>
      <c r="B167" s="61">
        <v>44575.842118321758</v>
      </c>
      <c r="D167" s="18"/>
      <c r="E167" s="18"/>
      <c r="G167" s="18"/>
      <c r="H167" s="18"/>
      <c r="I167" s="18"/>
      <c r="J167" s="43"/>
      <c r="K167" s="18"/>
      <c r="L167" s="18"/>
      <c r="M167" s="18"/>
      <c r="P167" s="18"/>
      <c r="Q167" s="18"/>
      <c r="R167" s="43"/>
      <c r="S167" s="18"/>
      <c r="T167" s="18"/>
      <c r="U167" s="18"/>
      <c r="V167" s="43"/>
      <c r="W167" s="18"/>
      <c r="X167" s="18"/>
    </row>
    <row r="168" spans="1:26" x14ac:dyDescent="0.3">
      <c r="A168" s="9"/>
      <c r="B168" s="62" t="s">
        <v>56</v>
      </c>
      <c r="D168" s="18"/>
      <c r="E168" s="18"/>
      <c r="G168" s="18"/>
      <c r="H168" s="18"/>
      <c r="I168" s="18"/>
      <c r="J168" s="43"/>
      <c r="K168" s="18"/>
      <c r="L168" s="18"/>
      <c r="M168" s="18"/>
      <c r="P168" s="18"/>
      <c r="Q168" s="18"/>
      <c r="R168" s="43"/>
      <c r="S168" s="18"/>
      <c r="T168" s="18"/>
      <c r="U168" s="18"/>
      <c r="V168" s="43"/>
      <c r="W168" s="18"/>
      <c r="X168" s="18"/>
    </row>
    <row r="169" spans="1:26" x14ac:dyDescent="0.3">
      <c r="A169" s="9"/>
      <c r="B169" s="53"/>
      <c r="D169" s="18"/>
      <c r="E169" s="18"/>
      <c r="G169" s="18"/>
      <c r="H169" s="18"/>
      <c r="I169" s="18"/>
      <c r="J169" s="43"/>
      <c r="K169" s="18"/>
      <c r="L169" s="18"/>
      <c r="M169" s="18"/>
      <c r="P169" s="18"/>
      <c r="Q169" s="18"/>
      <c r="R169" s="43"/>
      <c r="S169" s="18"/>
      <c r="T169" s="18"/>
      <c r="U169" s="18"/>
      <c r="V169" s="43"/>
      <c r="W169" s="18"/>
      <c r="X169" s="18"/>
    </row>
    <row r="170" spans="1:26" x14ac:dyDescent="0.3">
      <c r="D170" s="18"/>
      <c r="E170" s="18"/>
      <c r="G170" s="18"/>
      <c r="H170" s="18"/>
      <c r="I170" s="18"/>
      <c r="J170" s="43"/>
      <c r="K170" s="18"/>
      <c r="L170" s="18"/>
      <c r="M170" s="18"/>
      <c r="P170" s="18"/>
      <c r="Q170" s="18"/>
      <c r="R170" s="43"/>
      <c r="S170" s="18"/>
      <c r="T170" s="18"/>
      <c r="U170" s="18"/>
      <c r="V170" s="43"/>
      <c r="W170" s="18"/>
      <c r="X170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16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256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498222.84000000008</v>
      </c>
      <c r="E12" s="4"/>
      <c r="F12" s="12"/>
      <c r="G12" s="4"/>
      <c r="H12" s="4">
        <f>SUM(OSRRefH13x_0)</f>
        <v>414209</v>
      </c>
      <c r="I12" s="4"/>
      <c r="J12" s="12"/>
      <c r="K12" s="4"/>
      <c r="L12" s="4">
        <f t="shared" ref="L12:L19" si="0">+D12-H12</f>
        <v>84013.840000000084</v>
      </c>
      <c r="M12" s="4"/>
      <c r="N12" s="12">
        <f t="shared" ref="N12:N19" si="1">IF(H12=0,0,L12/H12)</f>
        <v>0.20282958603024098</v>
      </c>
      <c r="O12" s="10"/>
      <c r="P12" s="4">
        <f>SUM(OSRRefP13x_0)</f>
        <v>3661130.39</v>
      </c>
      <c r="Q12" s="4"/>
      <c r="R12" s="12"/>
      <c r="S12" s="4"/>
      <c r="T12" s="4">
        <f>SUM(OSRRefT13x_0)</f>
        <v>4953676</v>
      </c>
      <c r="U12" s="4"/>
      <c r="V12" s="12"/>
      <c r="W12" s="4"/>
      <c r="X12" s="4">
        <f t="shared" ref="X12:X19" si="2">+P12-T12</f>
        <v>-1292545.6099999999</v>
      </c>
      <c r="Y12" s="4"/>
      <c r="Z12" s="12">
        <f t="shared" ref="Z12:Z19" si="3">IF(T12=0,0,X12/T12)</f>
        <v>-0.26092655434065526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--480652.92</f>
        <v>480652.92</v>
      </c>
      <c r="E13" s="2"/>
      <c r="F13" s="19"/>
      <c r="G13" s="2"/>
      <c r="H13" s="2">
        <v>391370</v>
      </c>
      <c r="I13" s="2"/>
      <c r="J13" s="19"/>
      <c r="K13" s="2"/>
      <c r="L13" s="2">
        <f t="shared" si="0"/>
        <v>89282.919999999984</v>
      </c>
      <c r="M13" s="2"/>
      <c r="N13" s="19">
        <f t="shared" si="1"/>
        <v>0.22812918721414513</v>
      </c>
      <c r="O13" s="11"/>
      <c r="P13" s="2">
        <f>--3112755.71</f>
        <v>3112755.71</v>
      </c>
      <c r="Q13" s="2"/>
      <c r="R13" s="19"/>
      <c r="S13" s="2"/>
      <c r="T13" s="2">
        <v>4797080</v>
      </c>
      <c r="U13" s="2"/>
      <c r="V13" s="19"/>
      <c r="W13" s="2"/>
      <c r="X13" s="2">
        <f t="shared" si="2"/>
        <v>-1684324.29</v>
      </c>
      <c r="Y13" s="2"/>
      <c r="Z13" s="19">
        <f t="shared" si="3"/>
        <v>-0.35111448839710824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--83046.11</f>
        <v>83046.11</v>
      </c>
      <c r="E14" s="2"/>
      <c r="F14" s="19"/>
      <c r="G14" s="2"/>
      <c r="H14" s="2">
        <v>22839</v>
      </c>
      <c r="I14" s="2"/>
      <c r="J14" s="19"/>
      <c r="K14" s="2"/>
      <c r="L14" s="2">
        <f t="shared" si="0"/>
        <v>60207.11</v>
      </c>
      <c r="M14" s="2"/>
      <c r="N14" s="19">
        <f t="shared" si="1"/>
        <v>2.6361535093480448</v>
      </c>
      <c r="O14" s="11"/>
      <c r="P14" s="2">
        <f>--726978.94</f>
        <v>726978.94</v>
      </c>
      <c r="Q14" s="2"/>
      <c r="R14" s="19"/>
      <c r="S14" s="2"/>
      <c r="T14" s="2">
        <v>156596</v>
      </c>
      <c r="U14" s="2"/>
      <c r="V14" s="19"/>
      <c r="W14" s="2"/>
      <c r="X14" s="2">
        <f t="shared" si="2"/>
        <v>570382.93999999994</v>
      </c>
      <c r="Y14" s="2"/>
      <c r="Z14" s="19">
        <f t="shared" si="3"/>
        <v>3.6423851183938285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-14880.61</f>
        <v>-14880.61</v>
      </c>
      <c r="E17" s="2"/>
      <c r="F17" s="19"/>
      <c r="G17" s="2"/>
      <c r="H17" s="2"/>
      <c r="I17" s="2"/>
      <c r="J17" s="19"/>
      <c r="K17" s="2"/>
      <c r="L17" s="2">
        <f t="shared" si="0"/>
        <v>-14880.61</v>
      </c>
      <c r="M17" s="2"/>
      <c r="N17" s="19">
        <f t="shared" si="1"/>
        <v>0</v>
      </c>
      <c r="O17" s="11"/>
      <c r="P17" s="2">
        <f>-87418.81</f>
        <v>-87418.81</v>
      </c>
      <c r="Q17" s="2"/>
      <c r="R17" s="19"/>
      <c r="S17" s="2"/>
      <c r="T17" s="2"/>
      <c r="U17" s="2"/>
      <c r="V17" s="19"/>
      <c r="W17" s="2"/>
      <c r="X17" s="2">
        <f t="shared" si="2"/>
        <v>-87418.81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"4300", " - ", "NON-TAX RETURNS")</f>
        <v xml:space="preserve">          4300 - NON-TAX RETURNS</v>
      </c>
      <c r="C18" s="11"/>
      <c r="D18" s="2">
        <f>-678.95</f>
        <v>-678.95</v>
      </c>
      <c r="E18" s="2"/>
      <c r="F18" s="19"/>
      <c r="G18" s="2"/>
      <c r="H18" s="2"/>
      <c r="I18" s="2"/>
      <c r="J18" s="19"/>
      <c r="K18" s="2"/>
      <c r="L18" s="2">
        <f t="shared" si="0"/>
        <v>-678.95</v>
      </c>
      <c r="M18" s="2"/>
      <c r="N18" s="19">
        <f t="shared" si="1"/>
        <v>0</v>
      </c>
      <c r="O18" s="11"/>
      <c r="P18" s="2">
        <f>-27179.34</f>
        <v>-27179.34</v>
      </c>
      <c r="Q18" s="2"/>
      <c r="R18" s="19"/>
      <c r="S18" s="2"/>
      <c r="T18" s="2"/>
      <c r="U18" s="2"/>
      <c r="V18" s="19"/>
      <c r="W18" s="2"/>
      <c r="X18" s="2">
        <f t="shared" si="2"/>
        <v>-27179.34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"4500", " - ", "SALES DISCOUNT")</f>
        <v xml:space="preserve">          4500 - SALES DISCOUNT</v>
      </c>
      <c r="C19" s="11"/>
      <c r="D19" s="2">
        <f>-49916.63</f>
        <v>-49916.63</v>
      </c>
      <c r="E19" s="2"/>
      <c r="F19" s="19"/>
      <c r="G19" s="2"/>
      <c r="H19" s="2"/>
      <c r="I19" s="2"/>
      <c r="J19" s="19"/>
      <c r="K19" s="2"/>
      <c r="L19" s="2">
        <f t="shared" si="0"/>
        <v>-49916.63</v>
      </c>
      <c r="M19" s="2"/>
      <c r="N19" s="19">
        <f t="shared" si="1"/>
        <v>0</v>
      </c>
      <c r="O19" s="11"/>
      <c r="P19" s="2">
        <f>-64006.11</f>
        <v>-64006.11</v>
      </c>
      <c r="Q19" s="2"/>
      <c r="R19" s="19"/>
      <c r="S19" s="2"/>
      <c r="T19" s="2"/>
      <c r="U19" s="2"/>
      <c r="V19" s="19"/>
      <c r="W19" s="2"/>
      <c r="X19" s="2">
        <f t="shared" si="2"/>
        <v>-64006.11</v>
      </c>
      <c r="Y19" s="2"/>
      <c r="Z19" s="19">
        <f t="shared" si="3"/>
        <v>0</v>
      </c>
    </row>
    <row r="20" spans="1:26" x14ac:dyDescent="0.3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3">
      <c r="A21" s="10"/>
      <c r="B21" s="25" t="s">
        <v>257</v>
      </c>
      <c r="C21" s="10"/>
      <c r="D21" s="4">
        <f>SUM(OSRRefD16x_0)</f>
        <v>258095.33999999997</v>
      </c>
      <c r="E21" s="4"/>
      <c r="F21" s="12">
        <f t="shared" ref="F21:F48" si="6">IF(D$12=0,0,D21/D$12)</f>
        <v>0.51803193125389424</v>
      </c>
      <c r="G21" s="4"/>
      <c r="H21" s="4">
        <f>SUM(OSRRefH16x_0)</f>
        <v>213058</v>
      </c>
      <c r="I21" s="4"/>
      <c r="J21" s="12">
        <f t="shared" ref="J21:J48" si="7">IF(H$12=0,0,H21/H$12)</f>
        <v>0.5143731787575837</v>
      </c>
      <c r="K21" s="4"/>
      <c r="L21" s="4">
        <f t="shared" ref="L21:L48" si="8">+D21-H21</f>
        <v>45037.339999999967</v>
      </c>
      <c r="M21" s="4"/>
      <c r="N21" s="12">
        <f t="shared" ref="N21:N48" si="9">IF(H21=0,0,L21/H21)</f>
        <v>0.21138535046794754</v>
      </c>
      <c r="O21" s="10"/>
      <c r="P21" s="4">
        <f>SUM(OSRRefP16x_0)</f>
        <v>2211922.33</v>
      </c>
      <c r="Q21" s="4"/>
      <c r="R21" s="12">
        <f t="shared" ref="R21:R48" si="10">IF(P$12=0,0,P21/P$12)</f>
        <v>0.60416376757343515</v>
      </c>
      <c r="S21" s="4"/>
      <c r="T21" s="4">
        <f>SUM(OSRRefT16x_0)</f>
        <v>3095583</v>
      </c>
      <c r="U21" s="4"/>
      <c r="V21" s="12">
        <f t="shared" ref="V21:V48" si="11">IF(T$12=0,0,T21/T$12)</f>
        <v>0.62490623125129696</v>
      </c>
      <c r="W21" s="4"/>
      <c r="X21" s="4">
        <f t="shared" ref="X21:X48" si="12">+P21-T21</f>
        <v>-883660.66999999993</v>
      </c>
      <c r="Y21" s="4"/>
      <c r="Z21" s="12">
        <f t="shared" ref="Z21:Z48" si="13">IF(T21=0,0,X21/T21)</f>
        <v>-0.28545856144060744</v>
      </c>
    </row>
    <row r="22" spans="1:26" s="24" customFormat="1" hidden="1" outlineLevel="1" x14ac:dyDescent="0.3">
      <c r="A22" s="44"/>
      <c r="B22" s="11" t="str">
        <f>CONCATENATE("          ", "5000", " - ", "PURCHASES @ COST")</f>
        <v xml:space="preserve">          5000 - PURCHASES @ COST</v>
      </c>
      <c r="C22" s="11"/>
      <c r="D22" s="2">
        <v>283717.63</v>
      </c>
      <c r="E22" s="2"/>
      <c r="F22" s="19">
        <f t="shared" si="6"/>
        <v>0.56945930058124183</v>
      </c>
      <c r="G22" s="2"/>
      <c r="H22" s="2">
        <v>213058</v>
      </c>
      <c r="I22" s="2"/>
      <c r="J22" s="19">
        <f t="shared" si="7"/>
        <v>0.5143731787575837</v>
      </c>
      <c r="K22" s="2"/>
      <c r="L22" s="2">
        <f t="shared" si="8"/>
        <v>70659.63</v>
      </c>
      <c r="M22" s="2"/>
      <c r="N22" s="19">
        <f t="shared" si="9"/>
        <v>0.33164504501121761</v>
      </c>
      <c r="O22" s="11"/>
      <c r="P22" s="2">
        <v>2531924.41</v>
      </c>
      <c r="Q22" s="2"/>
      <c r="R22" s="19">
        <f t="shared" si="10"/>
        <v>0.69156903477562293</v>
      </c>
      <c r="S22" s="2"/>
      <c r="T22" s="2">
        <v>3095583</v>
      </c>
      <c r="U22" s="2"/>
      <c r="V22" s="19">
        <f t="shared" si="11"/>
        <v>0.62490623125129696</v>
      </c>
      <c r="W22" s="2"/>
      <c r="X22" s="2">
        <f t="shared" si="12"/>
        <v>-563658.58999999985</v>
      </c>
      <c r="Y22" s="2"/>
      <c r="Z22" s="19">
        <f t="shared" si="13"/>
        <v>-0.18208479307451936</v>
      </c>
    </row>
    <row r="23" spans="1:26" s="24" customFormat="1" hidden="1" outlineLevel="1" x14ac:dyDescent="0.3">
      <c r="A23" s="44"/>
      <c r="B23" s="11" t="str">
        <f>CONCATENATE("          ", "5001", " - ", "PURCHASES @ COST-NEW TEXT")</f>
        <v xml:space="preserve">          5001 - PURCHASES @ COST-NEW TEXT</v>
      </c>
      <c r="C23" s="11"/>
      <c r="D23" s="2"/>
      <c r="E23" s="2"/>
      <c r="F23" s="19">
        <f t="shared" si="6"/>
        <v>0</v>
      </c>
      <c r="G23" s="2"/>
      <c r="H23" s="2"/>
      <c r="I23" s="2"/>
      <c r="J23" s="19">
        <f t="shared" si="7"/>
        <v>0</v>
      </c>
      <c r="K23" s="2"/>
      <c r="L23" s="2">
        <f t="shared" si="8"/>
        <v>0</v>
      </c>
      <c r="M23" s="2"/>
      <c r="N23" s="19">
        <f t="shared" si="9"/>
        <v>0</v>
      </c>
      <c r="O23" s="11"/>
      <c r="P23" s="2">
        <v>0</v>
      </c>
      <c r="Q23" s="2"/>
      <c r="R23" s="19">
        <f t="shared" si="10"/>
        <v>0</v>
      </c>
      <c r="S23" s="2"/>
      <c r="T23" s="2"/>
      <c r="U23" s="2"/>
      <c r="V23" s="19">
        <f t="shared" si="11"/>
        <v>0</v>
      </c>
      <c r="W23" s="2"/>
      <c r="X23" s="2">
        <f t="shared" si="12"/>
        <v>0</v>
      </c>
      <c r="Y23" s="2"/>
      <c r="Z23" s="19">
        <f t="shared" si="13"/>
        <v>0</v>
      </c>
    </row>
    <row r="24" spans="1:26" s="24" customFormat="1" hidden="1" outlineLevel="1" x14ac:dyDescent="0.3">
      <c r="A24" s="44"/>
      <c r="B24" s="11" t="str">
        <f>CONCATENATE("          ", "5002", " - ", "PURCHASES @ COST-USED TEXT")</f>
        <v xml:space="preserve">          5002 - PURCHASES @ COST-USED TEXT</v>
      </c>
      <c r="C24" s="11"/>
      <c r="D24" s="2"/>
      <c r="E24" s="2"/>
      <c r="F24" s="19">
        <f t="shared" si="6"/>
        <v>0</v>
      </c>
      <c r="G24" s="2"/>
      <c r="H24" s="2"/>
      <c r="I24" s="2"/>
      <c r="J24" s="19">
        <f t="shared" si="7"/>
        <v>0</v>
      </c>
      <c r="K24" s="2"/>
      <c r="L24" s="2">
        <f t="shared" si="8"/>
        <v>0</v>
      </c>
      <c r="M24" s="2"/>
      <c r="N24" s="19">
        <f t="shared" si="9"/>
        <v>0</v>
      </c>
      <c r="O24" s="11"/>
      <c r="P24" s="2">
        <v>0</v>
      </c>
      <c r="Q24" s="2"/>
      <c r="R24" s="19">
        <f t="shared" si="10"/>
        <v>0</v>
      </c>
      <c r="S24" s="2"/>
      <c r="T24" s="2"/>
      <c r="U24" s="2"/>
      <c r="V24" s="19">
        <f t="shared" si="11"/>
        <v>0</v>
      </c>
      <c r="W24" s="2"/>
      <c r="X24" s="2">
        <f t="shared" si="12"/>
        <v>0</v>
      </c>
      <c r="Y24" s="2"/>
      <c r="Z24" s="19">
        <f t="shared" si="13"/>
        <v>0</v>
      </c>
    </row>
    <row r="25" spans="1:26" s="24" customFormat="1" hidden="1" outlineLevel="1" x14ac:dyDescent="0.3">
      <c r="A25" s="44"/>
      <c r="B25" s="11" t="str">
        <f>CONCATENATE("          ", "5004", " - ", "PURCHASES @ COST-DIGITAL TEXT")</f>
        <v xml:space="preserve">          5004 - PURCHASES @ COST-DIGITAL TEXT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0</v>
      </c>
      <c r="Q25" s="2"/>
      <c r="R25" s="19">
        <f t="shared" si="10"/>
        <v>0</v>
      </c>
      <c r="S25" s="2"/>
      <c r="T25" s="2"/>
      <c r="U25" s="2"/>
      <c r="V25" s="19">
        <f t="shared" si="11"/>
        <v>0</v>
      </c>
      <c r="W25" s="2"/>
      <c r="X25" s="2">
        <f t="shared" si="12"/>
        <v>0</v>
      </c>
      <c r="Y25" s="2"/>
      <c r="Z25" s="19">
        <f t="shared" si="13"/>
        <v>0</v>
      </c>
    </row>
    <row r="26" spans="1:26" s="24" customFormat="1" hidden="1" outlineLevel="1" x14ac:dyDescent="0.3">
      <c r="A26" s="44"/>
      <c r="B26" s="11" t="str">
        <f>CONCATENATE("          ", "5026", " - ", "PURCHASES @ COST-WRITING INSTR")</f>
        <v xml:space="preserve">          5026 - PURCHASES @ COST-WRITING INSTR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>
        <v>0</v>
      </c>
      <c r="Q26" s="2"/>
      <c r="R26" s="19">
        <f t="shared" si="10"/>
        <v>0</v>
      </c>
      <c r="S26" s="2"/>
      <c r="T26" s="2"/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"5027", " - ", "PURCHASES @ COST-SCHOOL SUPPLI")</f>
        <v xml:space="preserve">          5027 - PURCHASES @ COST-SCHOOL SUPPLI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"5028", " - ", "PURCHASES @ COST-ART/TECH")</f>
        <v xml:space="preserve">          5028 - PURCHASES @ COST-ART/TECH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"5031", " - ", "PURCHASES @ COST-FOOD")</f>
        <v xml:space="preserve">          5031 - PURCHASES @ COST-FOOD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"5040", " - ", "PURCHASES @ COST-LOGO CLOTHING")</f>
        <v xml:space="preserve">          5040 - PURCHASES @ COST-LOGO CLOTHING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"5041", " - ", "PURCHASES @ COST-LOGO GIFTS")</f>
        <v xml:space="preserve">          5041 - PURCHASES @ COST-LOGO GIFTS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"5043", " - ", "PURCHASES @ COST-CARDS")</f>
        <v xml:space="preserve">          5043 - PURCHASES @ COST-CARDS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"5044", " - ", "PURCHASES @ COST-ACCESSORIES")</f>
        <v xml:space="preserve">          5044 - PURCHASES @ COST-ACCESSORIES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"5045", " - ", "PURCHASES @ COST-SPECIAL ORDER")</f>
        <v xml:space="preserve">          5045 - PURCHASES @ COST-SPECIAL ORDER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"5200", " - ", "PURCHASES OFFSET")</f>
        <v xml:space="preserve">          5200 - PURCHASES OFFSET</v>
      </c>
      <c r="C36" s="11"/>
      <c r="D36" s="2">
        <v>-295778.33</v>
      </c>
      <c r="E36" s="2"/>
      <c r="F36" s="19">
        <f t="shared" si="6"/>
        <v>-0.59366674157290733</v>
      </c>
      <c r="G36" s="2"/>
      <c r="H36" s="2"/>
      <c r="I36" s="2"/>
      <c r="J36" s="19">
        <f t="shared" si="7"/>
        <v>0</v>
      </c>
      <c r="K36" s="2"/>
      <c r="L36" s="2">
        <f t="shared" si="8"/>
        <v>-295778.33</v>
      </c>
      <c r="M36" s="2"/>
      <c r="N36" s="19">
        <f t="shared" si="9"/>
        <v>0</v>
      </c>
      <c r="O36" s="11"/>
      <c r="P36" s="2">
        <v>-2350995.54</v>
      </c>
      <c r="Q36" s="2"/>
      <c r="R36" s="19">
        <f t="shared" si="10"/>
        <v>-0.64215018028898996</v>
      </c>
      <c r="S36" s="2"/>
      <c r="T36" s="2"/>
      <c r="U36" s="2"/>
      <c r="V36" s="19">
        <f t="shared" si="11"/>
        <v>0</v>
      </c>
      <c r="W36" s="2"/>
      <c r="X36" s="2">
        <f t="shared" si="12"/>
        <v>-2350995.54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"5300", " - ", "COG$ OFFSET")</f>
        <v xml:space="preserve">          5300 - COG$ OFFSET</v>
      </c>
      <c r="C37" s="11"/>
      <c r="D37" s="2">
        <v>260630.8</v>
      </c>
      <c r="E37" s="2"/>
      <c r="F37" s="19">
        <f t="shared" si="6"/>
        <v>0.52312093921667646</v>
      </c>
      <c r="G37" s="2"/>
      <c r="H37" s="2"/>
      <c r="I37" s="2"/>
      <c r="J37" s="19">
        <f t="shared" si="7"/>
        <v>0</v>
      </c>
      <c r="K37" s="2"/>
      <c r="L37" s="2">
        <f t="shared" si="8"/>
        <v>260630.8</v>
      </c>
      <c r="M37" s="2"/>
      <c r="N37" s="19">
        <f t="shared" si="9"/>
        <v>0</v>
      </c>
      <c r="O37" s="11"/>
      <c r="P37" s="2">
        <v>1960711.16</v>
      </c>
      <c r="Q37" s="2"/>
      <c r="R37" s="19">
        <f t="shared" si="10"/>
        <v>0.53554802783191779</v>
      </c>
      <c r="S37" s="2"/>
      <c r="T37" s="2"/>
      <c r="U37" s="2"/>
      <c r="V37" s="19">
        <f t="shared" si="11"/>
        <v>0</v>
      </c>
      <c r="W37" s="2"/>
      <c r="X37" s="2">
        <f t="shared" si="12"/>
        <v>1960711.16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"5500", " - ", "FREIGHT-IN")</f>
        <v xml:space="preserve">          5500 - FREIGHT-IN</v>
      </c>
      <c r="C38" s="11"/>
      <c r="D38" s="2">
        <v>9525.24</v>
      </c>
      <c r="E38" s="2"/>
      <c r="F38" s="19">
        <f t="shared" si="6"/>
        <v>1.9118433028883216E-2</v>
      </c>
      <c r="G38" s="2"/>
      <c r="H38" s="2"/>
      <c r="I38" s="2"/>
      <c r="J38" s="19">
        <f t="shared" si="7"/>
        <v>0</v>
      </c>
      <c r="K38" s="2"/>
      <c r="L38" s="2">
        <f t="shared" si="8"/>
        <v>9525.24</v>
      </c>
      <c r="M38" s="2"/>
      <c r="N38" s="19">
        <f t="shared" si="9"/>
        <v>0</v>
      </c>
      <c r="O38" s="11"/>
      <c r="P38" s="2">
        <v>70282.3</v>
      </c>
      <c r="Q38" s="2"/>
      <c r="R38" s="19">
        <f t="shared" si="10"/>
        <v>1.9196885254884354E-2</v>
      </c>
      <c r="S38" s="2"/>
      <c r="T38" s="2"/>
      <c r="U38" s="2"/>
      <c r="V38" s="19">
        <f t="shared" si="11"/>
        <v>0</v>
      </c>
      <c r="W38" s="2"/>
      <c r="X38" s="2">
        <f t="shared" si="12"/>
        <v>70282.3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"5501", " - ", "FREIGHT-IN-NEW TEXT")</f>
        <v xml:space="preserve">          5501 - FREIGHT-IN-NEW TEXT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0</v>
      </c>
      <c r="Q39" s="2"/>
      <c r="R39" s="19">
        <f t="shared" si="10"/>
        <v>0</v>
      </c>
      <c r="S39" s="2"/>
      <c r="T39" s="2"/>
      <c r="U39" s="2"/>
      <c r="V39" s="19">
        <f t="shared" si="11"/>
        <v>0</v>
      </c>
      <c r="W39" s="2"/>
      <c r="X39" s="2">
        <f t="shared" si="12"/>
        <v>0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"5502", " - ", "FREIGHT-IN-USED TEXT")</f>
        <v xml:space="preserve">          5502 - FREIGHT-IN-USED TEXT</v>
      </c>
      <c r="C40" s="11"/>
      <c r="D40" s="2"/>
      <c r="E40" s="2"/>
      <c r="F40" s="19">
        <f t="shared" si="6"/>
        <v>0</v>
      </c>
      <c r="G40" s="2"/>
      <c r="H40" s="2"/>
      <c r="I40" s="2"/>
      <c r="J40" s="19">
        <f t="shared" si="7"/>
        <v>0</v>
      </c>
      <c r="K40" s="2"/>
      <c r="L40" s="2">
        <f t="shared" si="8"/>
        <v>0</v>
      </c>
      <c r="M40" s="2"/>
      <c r="N40" s="19">
        <f t="shared" si="9"/>
        <v>0</v>
      </c>
      <c r="O40" s="11"/>
      <c r="P40" s="2">
        <v>0</v>
      </c>
      <c r="Q40" s="2"/>
      <c r="R40" s="19">
        <f t="shared" si="10"/>
        <v>0</v>
      </c>
      <c r="S40" s="2"/>
      <c r="T40" s="2"/>
      <c r="U40" s="2"/>
      <c r="V40" s="19">
        <f t="shared" si="11"/>
        <v>0</v>
      </c>
      <c r="W40" s="2"/>
      <c r="X40" s="2">
        <f t="shared" si="12"/>
        <v>0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"5518", " - ", "FREIGHT-IN-STUDY GUIDES")</f>
        <v xml:space="preserve">          5518 - FREIGHT-IN-STUDY GUIDES</v>
      </c>
      <c r="C41" s="11"/>
      <c r="D41" s="2"/>
      <c r="E41" s="2"/>
      <c r="F41" s="19">
        <f t="shared" si="6"/>
        <v>0</v>
      </c>
      <c r="G41" s="2"/>
      <c r="H41" s="2"/>
      <c r="I41" s="2"/>
      <c r="J41" s="19">
        <f t="shared" si="7"/>
        <v>0</v>
      </c>
      <c r="K41" s="2"/>
      <c r="L41" s="2">
        <f t="shared" si="8"/>
        <v>0</v>
      </c>
      <c r="M41" s="2"/>
      <c r="N41" s="19">
        <f t="shared" si="9"/>
        <v>0</v>
      </c>
      <c r="O41" s="11"/>
      <c r="P41" s="2">
        <v>0</v>
      </c>
      <c r="Q41" s="2"/>
      <c r="R41" s="19">
        <f t="shared" si="10"/>
        <v>0</v>
      </c>
      <c r="S41" s="2"/>
      <c r="T41" s="2"/>
      <c r="U41" s="2"/>
      <c r="V41" s="19">
        <f t="shared" si="11"/>
        <v>0</v>
      </c>
      <c r="W41" s="2"/>
      <c r="X41" s="2">
        <f t="shared" si="12"/>
        <v>0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"5527", " - ", "FREIGHT-IN-SCHOOL SUPPLIES")</f>
        <v xml:space="preserve">          5527 - FREIGHT-IN-SCHOOL SUPPLIES</v>
      </c>
      <c r="C42" s="11"/>
      <c r="D42" s="2"/>
      <c r="E42" s="2"/>
      <c r="F42" s="19">
        <f t="shared" si="6"/>
        <v>0</v>
      </c>
      <c r="G42" s="2"/>
      <c r="H42" s="2"/>
      <c r="I42" s="2"/>
      <c r="J42" s="19">
        <f t="shared" si="7"/>
        <v>0</v>
      </c>
      <c r="K42" s="2"/>
      <c r="L42" s="2">
        <f t="shared" si="8"/>
        <v>0</v>
      </c>
      <c r="M42" s="2"/>
      <c r="N42" s="19">
        <f t="shared" si="9"/>
        <v>0</v>
      </c>
      <c r="O42" s="11"/>
      <c r="P42" s="2">
        <v>0</v>
      </c>
      <c r="Q42" s="2"/>
      <c r="R42" s="19">
        <f t="shared" si="10"/>
        <v>0</v>
      </c>
      <c r="S42" s="2"/>
      <c r="T42" s="2"/>
      <c r="U42" s="2"/>
      <c r="V42" s="19">
        <f t="shared" si="11"/>
        <v>0</v>
      </c>
      <c r="W42" s="2"/>
      <c r="X42" s="2">
        <f t="shared" si="12"/>
        <v>0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"5528", " - ", "FREIGHT-IN-ART/TECH")</f>
        <v xml:space="preserve">          5528 - FREIGHT-IN-ART/TECH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0</v>
      </c>
      <c r="Q43" s="2"/>
      <c r="R43" s="19">
        <f t="shared" si="10"/>
        <v>0</v>
      </c>
      <c r="S43" s="2"/>
      <c r="T43" s="2"/>
      <c r="U43" s="2"/>
      <c r="V43" s="19">
        <f t="shared" si="11"/>
        <v>0</v>
      </c>
      <c r="W43" s="2"/>
      <c r="X43" s="2">
        <f t="shared" si="12"/>
        <v>0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"5540", " - ", "FREIGHT-IN-LOGO CLOTHING")</f>
        <v xml:space="preserve">          5540 - FREIGHT-IN-LOGO CLOTHING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"5541", " - ", "FREIGHT-IN-LOGO GIFTS")</f>
        <v xml:space="preserve">          5541 - FREIGHT-IN-LOGO GIFTS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"5542", " - ", "FREIGHT-IN-EVERYDAY GIFTS")</f>
        <v xml:space="preserve">          5542 - FREIGHT-IN-EVERYDAY GIFTS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"5544", " - ", "FREIGHT-IN-ACCESSORIES")</f>
        <v xml:space="preserve">          5544 - FREIGHT-IN-ACCESSORIES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0</v>
      </c>
      <c r="Q47" s="2"/>
      <c r="R47" s="19">
        <f t="shared" si="10"/>
        <v>0</v>
      </c>
      <c r="S47" s="2"/>
      <c r="T47" s="2"/>
      <c r="U47" s="2"/>
      <c r="V47" s="19">
        <f t="shared" si="11"/>
        <v>0</v>
      </c>
      <c r="W47" s="2"/>
      <c r="X47" s="2">
        <f t="shared" si="12"/>
        <v>0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"5545", " - ", "FREIGHT-IN-SPECIAL ORDERS")</f>
        <v xml:space="preserve">          5545 - FREIGHT-IN-SPECIAL ORDERS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0</v>
      </c>
      <c r="Q48" s="2"/>
      <c r="R48" s="19">
        <f t="shared" si="10"/>
        <v>0</v>
      </c>
      <c r="S48" s="2"/>
      <c r="T48" s="2"/>
      <c r="U48" s="2"/>
      <c r="V48" s="19">
        <f t="shared" si="11"/>
        <v>0</v>
      </c>
      <c r="W48" s="2"/>
      <c r="X48" s="2">
        <f t="shared" si="12"/>
        <v>0</v>
      </c>
      <c r="Y48" s="2"/>
      <c r="Z48" s="19">
        <f t="shared" si="13"/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6" t="s">
        <v>108</v>
      </c>
      <c r="C50" s="26"/>
      <c r="D50" s="20">
        <f>D12-D21</f>
        <v>240127.50000000012</v>
      </c>
      <c r="E50" s="13"/>
      <c r="F50" s="22">
        <f>IF(D$12=0,0,D50/D$12)</f>
        <v>0.48196806874610582</v>
      </c>
      <c r="G50" s="13"/>
      <c r="H50" s="20">
        <f>H12-H21</f>
        <v>201151</v>
      </c>
      <c r="I50" s="13"/>
      <c r="J50" s="22">
        <f>IF(H$12=0,0,H50/H$12)</f>
        <v>0.4856268212424163</v>
      </c>
      <c r="K50" s="16"/>
      <c r="L50" s="20">
        <f>+D50-H50</f>
        <v>38976.500000000116</v>
      </c>
      <c r="M50" s="16"/>
      <c r="N50" s="22">
        <f>IF(H50=0,0,L50/H50)</f>
        <v>0.19376736879259918</v>
      </c>
      <c r="O50" s="25"/>
      <c r="P50" s="20">
        <f>P12-P21</f>
        <v>1449208.06</v>
      </c>
      <c r="Q50" s="13"/>
      <c r="R50" s="22">
        <f>IF(P$12=0,0,P50/P$12)</f>
        <v>0.39583623242656485</v>
      </c>
      <c r="S50" s="13"/>
      <c r="T50" s="20">
        <f>T12-T21</f>
        <v>1858093</v>
      </c>
      <c r="U50" s="13"/>
      <c r="V50" s="22">
        <f>IF(T$12=0,0,T50/T$12)</f>
        <v>0.37509376874870298</v>
      </c>
      <c r="W50" s="16"/>
      <c r="X50" s="20">
        <f>+P50-T50</f>
        <v>-408884.93999999994</v>
      </c>
      <c r="Y50" s="16"/>
      <c r="Z50" s="22">
        <f>IF(T50=0,0,X50/T50)</f>
        <v>-0.22005622969356214</v>
      </c>
    </row>
    <row r="51" spans="1:26" x14ac:dyDescent="0.3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5" t="s">
        <v>295</v>
      </c>
      <c r="C52" s="10"/>
      <c r="D52" s="21">
        <f>SUM(OSRRefD22x_0)</f>
        <v>276339.46000000002</v>
      </c>
      <c r="E52" s="21"/>
      <c r="F52" s="32">
        <f t="shared" ref="F52:F63" si="14">IF(D$12=0,0,D52/D$12)</f>
        <v>0.55465032474223774</v>
      </c>
      <c r="G52" s="21"/>
      <c r="H52" s="21">
        <f>SUM(OSRRefH22x_0)</f>
        <v>295455.77469460509</v>
      </c>
      <c r="I52" s="21"/>
      <c r="J52" s="32">
        <f t="shared" ref="J52:J63" si="15">IF(H$12=0,0,H52/H$12)</f>
        <v>0.71330119503585165</v>
      </c>
      <c r="K52" s="4"/>
      <c r="L52" s="21">
        <f t="shared" ref="L52:L63" si="16">+D52-H52</f>
        <v>-19116.314694605069</v>
      </c>
      <c r="M52" s="4"/>
      <c r="N52" s="32">
        <f t="shared" ref="N52:N63" si="17">IF(H52=0,0,L52/H52)</f>
        <v>-6.4701103623256165E-2</v>
      </c>
      <c r="O52" s="10"/>
      <c r="P52" s="21">
        <f>SUM(OSRRefP22x_0)</f>
        <v>1867676.3700000003</v>
      </c>
      <c r="Q52" s="21"/>
      <c r="R52" s="32">
        <f t="shared" ref="R52:R63" si="18">IF(P$12=0,0,P52/P$12)</f>
        <v>0.51013653463459419</v>
      </c>
      <c r="S52" s="21"/>
      <c r="T52" s="21">
        <f>SUM(OSRRefT22x_0)</f>
        <v>2023385.5745501253</v>
      </c>
      <c r="U52" s="21"/>
      <c r="V52" s="32">
        <f t="shared" ref="V52:V63" si="19">IF(T$12=0,0,T52/T$12)</f>
        <v>0.40846142835141525</v>
      </c>
      <c r="W52" s="4"/>
      <c r="X52" s="21">
        <f t="shared" ref="X52:X63" si="20">+P52-T52</f>
        <v>-155709.20455012494</v>
      </c>
      <c r="Y52" s="4"/>
      <c r="Z52" s="32">
        <f t="shared" ref="Z52:Z63" si="21">IF(T52=0,0,X52/T52)</f>
        <v>-7.695478632872281E-2</v>
      </c>
    </row>
    <row r="53" spans="1:26" s="28" customFormat="1" outlineLevel="1" collapsed="1" x14ac:dyDescent="0.3">
      <c r="A53" s="27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44141.39</v>
      </c>
      <c r="E53" s="1"/>
      <c r="F53" s="5">
        <f t="shared" si="14"/>
        <v>8.8597684522050399E-2</v>
      </c>
      <c r="G53" s="1"/>
      <c r="H53" s="1">
        <f>SUM(OSRRefH22_0x_0)</f>
        <v>43584.292610889795</v>
      </c>
      <c r="I53" s="1"/>
      <c r="J53" s="5">
        <f t="shared" si="15"/>
        <v>0.10522294931034766</v>
      </c>
      <c r="K53" s="1"/>
      <c r="L53" s="1">
        <f t="shared" si="16"/>
        <v>557.09738911020395</v>
      </c>
      <c r="M53" s="1"/>
      <c r="N53" s="5">
        <f t="shared" si="17"/>
        <v>1.2782067936351222E-2</v>
      </c>
      <c r="O53" s="14"/>
      <c r="P53" s="1">
        <f>SUM(OSRRefP22_0x_0)</f>
        <v>301217.75</v>
      </c>
      <c r="Q53" s="1"/>
      <c r="R53" s="5">
        <f t="shared" si="18"/>
        <v>8.2274521230586373E-2</v>
      </c>
      <c r="S53" s="1"/>
      <c r="T53" s="1">
        <f>SUM(OSRRefT22_0x_0)</f>
        <v>290767.10696751421</v>
      </c>
      <c r="U53" s="1"/>
      <c r="V53" s="5">
        <f t="shared" si="19"/>
        <v>5.8697239578752065E-2</v>
      </c>
      <c r="W53" s="1"/>
      <c r="X53" s="1">
        <f t="shared" si="20"/>
        <v>10450.643032485794</v>
      </c>
      <c r="Y53" s="1"/>
      <c r="Z53" s="5">
        <f t="shared" si="21"/>
        <v>3.5941627447059844E-2</v>
      </c>
    </row>
    <row r="54" spans="1:26" s="24" customFormat="1" hidden="1" outlineLevel="2" x14ac:dyDescent="0.3">
      <c r="A54" s="29"/>
      <c r="B54" s="11" t="str">
        <f>CONCATENATE("          ", "6111", " - ", "F.I.C.A.")</f>
        <v xml:space="preserve">          6111 - F.I.C.A.</v>
      </c>
      <c r="C54" s="11"/>
      <c r="D54" s="6">
        <v>6766.94</v>
      </c>
      <c r="E54" s="2"/>
      <c r="F54" s="7">
        <f t="shared" si="14"/>
        <v>1.358215532631944E-2</v>
      </c>
      <c r="G54" s="2"/>
      <c r="H54" s="6">
        <v>8801.5714406720799</v>
      </c>
      <c r="I54" s="2"/>
      <c r="J54" s="7">
        <f t="shared" si="15"/>
        <v>2.1249107191471165E-2</v>
      </c>
      <c r="K54" s="2"/>
      <c r="L54" s="6">
        <f t="shared" si="16"/>
        <v>-2034.6314406720803</v>
      </c>
      <c r="M54" s="2"/>
      <c r="N54" s="7">
        <f t="shared" si="17"/>
        <v>-0.23116683814779304</v>
      </c>
      <c r="O54" s="11"/>
      <c r="P54" s="6">
        <v>55816.72</v>
      </c>
      <c r="Q54" s="2"/>
      <c r="R54" s="7">
        <f t="shared" si="18"/>
        <v>1.5245761296144385E-2</v>
      </c>
      <c r="S54" s="2"/>
      <c r="T54" s="6">
        <v>60326.635174560797</v>
      </c>
      <c r="U54" s="2"/>
      <c r="V54" s="7">
        <f t="shared" si="19"/>
        <v>1.2178155207276536E-2</v>
      </c>
      <c r="W54" s="2"/>
      <c r="X54" s="6">
        <f t="shared" si="20"/>
        <v>-4509.915174560796</v>
      </c>
      <c r="Y54" s="2"/>
      <c r="Z54" s="7">
        <f t="shared" si="21"/>
        <v>-7.4758274873294894E-2</v>
      </c>
    </row>
    <row r="55" spans="1:26" s="24" customFormat="1" hidden="1" outlineLevel="2" x14ac:dyDescent="0.3">
      <c r="A55" s="29"/>
      <c r="B55" s="11" t="str">
        <f>CONCATENATE("          ", "6112", " - ", "COMPENSATION INSURANCE")</f>
        <v xml:space="preserve">          6112 - COMPENSATION INSURANCE</v>
      </c>
      <c r="C55" s="11"/>
      <c r="D55" s="6">
        <v>2184.3000000000002</v>
      </c>
      <c r="E55" s="2"/>
      <c r="F55" s="7">
        <f t="shared" si="14"/>
        <v>4.3841827885690663E-3</v>
      </c>
      <c r="G55" s="2"/>
      <c r="H55" s="6">
        <v>2507.3976754800001</v>
      </c>
      <c r="I55" s="2"/>
      <c r="J55" s="7">
        <f t="shared" si="15"/>
        <v>6.0534601505037311E-3</v>
      </c>
      <c r="K55" s="2"/>
      <c r="L55" s="6">
        <f t="shared" si="16"/>
        <v>-323.09767547999991</v>
      </c>
      <c r="M55" s="2"/>
      <c r="N55" s="7">
        <f t="shared" si="17"/>
        <v>-0.12885777100281795</v>
      </c>
      <c r="O55" s="11"/>
      <c r="P55" s="6">
        <v>14885.34</v>
      </c>
      <c r="Q55" s="2"/>
      <c r="R55" s="7">
        <f t="shared" si="18"/>
        <v>4.0657770727471959E-3</v>
      </c>
      <c r="S55" s="2"/>
      <c r="T55" s="6">
        <v>16712.055190620002</v>
      </c>
      <c r="U55" s="2"/>
      <c r="V55" s="7">
        <f t="shared" si="19"/>
        <v>3.3736673917753204E-3</v>
      </c>
      <c r="W55" s="2"/>
      <c r="X55" s="6">
        <f t="shared" si="20"/>
        <v>-1826.7151906200015</v>
      </c>
      <c r="Y55" s="2"/>
      <c r="Z55" s="7">
        <f t="shared" si="21"/>
        <v>-0.1093052392290617</v>
      </c>
    </row>
    <row r="56" spans="1:26" s="24" customFormat="1" hidden="1" outlineLevel="2" x14ac:dyDescent="0.3">
      <c r="A56" s="29"/>
      <c r="B56" s="11" t="str">
        <f>CONCATENATE("          ", "6113", " - ", "GROUP INSURANCE")</f>
        <v xml:space="preserve">          6113 - GROUP INSURANCE</v>
      </c>
      <c r="C56" s="11"/>
      <c r="D56" s="6">
        <v>16550.71</v>
      </c>
      <c r="E56" s="2"/>
      <c r="F56" s="7">
        <f t="shared" si="14"/>
        <v>3.321949270731947E-2</v>
      </c>
      <c r="G56" s="2"/>
      <c r="H56" s="6">
        <v>15715.9230769231</v>
      </c>
      <c r="I56" s="2"/>
      <c r="J56" s="7">
        <f t="shared" si="15"/>
        <v>3.7942012551448905E-2</v>
      </c>
      <c r="K56" s="2"/>
      <c r="L56" s="6">
        <f t="shared" si="16"/>
        <v>834.78692307689926</v>
      </c>
      <c r="M56" s="2"/>
      <c r="N56" s="7">
        <f t="shared" si="17"/>
        <v>5.3117269599180034E-2</v>
      </c>
      <c r="O56" s="11"/>
      <c r="P56" s="6">
        <v>106807.03999999999</v>
      </c>
      <c r="Q56" s="2"/>
      <c r="R56" s="7">
        <f t="shared" si="18"/>
        <v>2.9173241218540702E-2</v>
      </c>
      <c r="S56" s="2"/>
      <c r="T56" s="6">
        <v>101374.5</v>
      </c>
      <c r="U56" s="2"/>
      <c r="V56" s="7">
        <f t="shared" si="19"/>
        <v>2.0464499494920539E-2</v>
      </c>
      <c r="W56" s="2"/>
      <c r="X56" s="6">
        <f t="shared" si="20"/>
        <v>5432.5399999999936</v>
      </c>
      <c r="Y56" s="2"/>
      <c r="Z56" s="7">
        <f t="shared" si="21"/>
        <v>5.3588821646469213E-2</v>
      </c>
    </row>
    <row r="57" spans="1:26" s="24" customFormat="1" hidden="1" outlineLevel="2" x14ac:dyDescent="0.3">
      <c r="A57" s="29"/>
      <c r="B57" s="11" t="str">
        <f>CONCATENATE("          ", "6114", " - ", "STATE UNEMPLOYMENT INSURANCE")</f>
        <v xml:space="preserve">          6114 - STATE UNEMPLOYMENT INSURANCE</v>
      </c>
      <c r="C57" s="11"/>
      <c r="D57" s="6">
        <v>393.4</v>
      </c>
      <c r="E57" s="2"/>
      <c r="F57" s="7">
        <f t="shared" si="14"/>
        <v>7.8960651422564231E-4</v>
      </c>
      <c r="G57" s="2"/>
      <c r="H57" s="6">
        <v>337.53430246846199</v>
      </c>
      <c r="I57" s="2"/>
      <c r="J57" s="7">
        <f t="shared" si="15"/>
        <v>8.1488886641396493E-4</v>
      </c>
      <c r="K57" s="2"/>
      <c r="L57" s="6">
        <f t="shared" si="16"/>
        <v>55.86569753153799</v>
      </c>
      <c r="M57" s="2"/>
      <c r="N57" s="7">
        <f t="shared" si="17"/>
        <v>0.16551117063652482</v>
      </c>
      <c r="O57" s="11"/>
      <c r="P57" s="6">
        <v>2686.19</v>
      </c>
      <c r="Q57" s="2"/>
      <c r="R57" s="7">
        <f t="shared" si="18"/>
        <v>7.3370508937268414E-4</v>
      </c>
      <c r="S57" s="2"/>
      <c r="T57" s="6">
        <v>2249.69973719885</v>
      </c>
      <c r="U57" s="2"/>
      <c r="V57" s="7">
        <f t="shared" si="19"/>
        <v>4.5414753350821695E-4</v>
      </c>
      <c r="W57" s="2"/>
      <c r="X57" s="6">
        <f t="shared" si="20"/>
        <v>436.49026280115004</v>
      </c>
      <c r="Y57" s="2"/>
      <c r="Z57" s="7">
        <f t="shared" si="21"/>
        <v>0.19402156455982589</v>
      </c>
    </row>
    <row r="58" spans="1:26" s="24" customFormat="1" hidden="1" outlineLevel="2" x14ac:dyDescent="0.3">
      <c r="A58" s="29"/>
      <c r="B58" s="11" t="str">
        <f>CONCATENATE("          ", "6115", " - ", "P.E.R.S.")</f>
        <v xml:space="preserve">          6115 - P.E.R.S.</v>
      </c>
      <c r="C58" s="11"/>
      <c r="D58" s="6">
        <v>5703.78</v>
      </c>
      <c r="E58" s="2"/>
      <c r="F58" s="7">
        <f t="shared" si="14"/>
        <v>1.1448250746593631E-2</v>
      </c>
      <c r="G58" s="2"/>
      <c r="H58" s="6">
        <v>4215.5982431846096</v>
      </c>
      <c r="I58" s="2"/>
      <c r="J58" s="7">
        <f t="shared" si="15"/>
        <v>1.0177466552355477E-2</v>
      </c>
      <c r="K58" s="2"/>
      <c r="L58" s="6">
        <f t="shared" si="16"/>
        <v>1488.1817568153901</v>
      </c>
      <c r="M58" s="2"/>
      <c r="N58" s="7">
        <f t="shared" si="17"/>
        <v>0.3530179279349841</v>
      </c>
      <c r="O58" s="11"/>
      <c r="P58" s="6">
        <v>42607.82</v>
      </c>
      <c r="Q58" s="2"/>
      <c r="R58" s="7">
        <f t="shared" si="18"/>
        <v>1.1637886516246147E-2</v>
      </c>
      <c r="S58" s="2"/>
      <c r="T58" s="6">
        <v>29218.9820422384</v>
      </c>
      <c r="U58" s="2"/>
      <c r="V58" s="7">
        <f t="shared" si="19"/>
        <v>5.8984443153404465E-3</v>
      </c>
      <c r="W58" s="2"/>
      <c r="X58" s="6">
        <f t="shared" si="20"/>
        <v>13388.8379577616</v>
      </c>
      <c r="Y58" s="2"/>
      <c r="Z58" s="7">
        <f t="shared" si="21"/>
        <v>0.45822397023985817</v>
      </c>
    </row>
    <row r="59" spans="1:26" s="24" customFormat="1" hidden="1" outlineLevel="2" x14ac:dyDescent="0.3">
      <c r="A59" s="29"/>
      <c r="B59" s="11" t="str">
        <f>CONCATENATE("          ", "6116", " - ", "EDUCATIONAL BENEFITS")</f>
        <v xml:space="preserve">          6116 - EDUCATIONAL BENEFITS</v>
      </c>
      <c r="C59" s="11"/>
      <c r="D59" s="6"/>
      <c r="E59" s="2"/>
      <c r="F59" s="7">
        <f t="shared" si="14"/>
        <v>0</v>
      </c>
      <c r="G59" s="2"/>
      <c r="H59" s="6">
        <v>0</v>
      </c>
      <c r="I59" s="2"/>
      <c r="J59" s="7">
        <f t="shared" si="15"/>
        <v>0</v>
      </c>
      <c r="K59" s="2"/>
      <c r="L59" s="6">
        <f t="shared" si="16"/>
        <v>0</v>
      </c>
      <c r="M59" s="2"/>
      <c r="N59" s="7">
        <f t="shared" si="17"/>
        <v>0</v>
      </c>
      <c r="O59" s="11"/>
      <c r="P59" s="6"/>
      <c r="Q59" s="2"/>
      <c r="R59" s="7">
        <f t="shared" si="18"/>
        <v>0</v>
      </c>
      <c r="S59" s="2"/>
      <c r="T59" s="6">
        <v>0</v>
      </c>
      <c r="U59" s="2"/>
      <c r="V59" s="7">
        <f t="shared" si="19"/>
        <v>0</v>
      </c>
      <c r="W59" s="2"/>
      <c r="X59" s="6">
        <f t="shared" si="20"/>
        <v>0</v>
      </c>
      <c r="Y59" s="2"/>
      <c r="Z59" s="7">
        <f t="shared" si="21"/>
        <v>0</v>
      </c>
    </row>
    <row r="60" spans="1:26" s="24" customFormat="1" hidden="1" outlineLevel="2" x14ac:dyDescent="0.3">
      <c r="A60" s="29"/>
      <c r="B60" s="11" t="str">
        <f>CONCATENATE("          ", "6117", " - ", "RETIREMENT STAFF HOURLY")</f>
        <v xml:space="preserve">          6117 - RETIREMENT STAFF HOURLY</v>
      </c>
      <c r="C60" s="11"/>
      <c r="D60" s="6">
        <v>590.27</v>
      </c>
      <c r="E60" s="2"/>
      <c r="F60" s="7">
        <f t="shared" si="14"/>
        <v>1.1847509841178695E-3</v>
      </c>
      <c r="G60" s="2"/>
      <c r="H60" s="6"/>
      <c r="I60" s="2"/>
      <c r="J60" s="7">
        <f t="shared" si="15"/>
        <v>0</v>
      </c>
      <c r="K60" s="2"/>
      <c r="L60" s="6">
        <f t="shared" si="16"/>
        <v>590.27</v>
      </c>
      <c r="M60" s="2"/>
      <c r="N60" s="7">
        <f t="shared" si="17"/>
        <v>0</v>
      </c>
      <c r="O60" s="11"/>
      <c r="P60" s="6">
        <v>3694.41</v>
      </c>
      <c r="Q60" s="2"/>
      <c r="R60" s="7">
        <f t="shared" si="18"/>
        <v>1.0090899821789739E-3</v>
      </c>
      <c r="S60" s="2"/>
      <c r="T60" s="6"/>
      <c r="U60" s="2"/>
      <c r="V60" s="7">
        <f t="shared" si="19"/>
        <v>0</v>
      </c>
      <c r="W60" s="2"/>
      <c r="X60" s="6">
        <f t="shared" si="20"/>
        <v>3694.41</v>
      </c>
      <c r="Y60" s="2"/>
      <c r="Z60" s="7">
        <f t="shared" si="21"/>
        <v>0</v>
      </c>
    </row>
    <row r="61" spans="1:26" s="24" customFormat="1" hidden="1" outlineLevel="2" x14ac:dyDescent="0.3">
      <c r="A61" s="29"/>
      <c r="B61" s="11" t="str">
        <f>CONCATENATE("          ", "6118", " - ", "VACATION")</f>
        <v xml:space="preserve">          6118 - VACATION</v>
      </c>
      <c r="C61" s="11"/>
      <c r="D61" s="6">
        <v>5402.63</v>
      </c>
      <c r="E61" s="2"/>
      <c r="F61" s="7">
        <f t="shared" si="14"/>
        <v>1.0843802343545711E-2</v>
      </c>
      <c r="G61" s="2"/>
      <c r="H61" s="6">
        <v>3793.1837726692302</v>
      </c>
      <c r="I61" s="2"/>
      <c r="J61" s="7">
        <f t="shared" si="15"/>
        <v>9.1576565759537588E-3</v>
      </c>
      <c r="K61" s="2"/>
      <c r="L61" s="6">
        <f t="shared" si="16"/>
        <v>1609.4462273307699</v>
      </c>
      <c r="M61" s="2"/>
      <c r="N61" s="7">
        <f t="shared" si="17"/>
        <v>0.42429956569128124</v>
      </c>
      <c r="O61" s="11"/>
      <c r="P61" s="6">
        <v>34293.519999999997</v>
      </c>
      <c r="Q61" s="2"/>
      <c r="R61" s="7">
        <f t="shared" si="18"/>
        <v>9.3669212365856212E-3</v>
      </c>
      <c r="S61" s="2"/>
      <c r="T61" s="6">
        <v>26769.175291580799</v>
      </c>
      <c r="U61" s="2"/>
      <c r="V61" s="7">
        <f t="shared" si="19"/>
        <v>5.4039011214259466E-3</v>
      </c>
      <c r="W61" s="2"/>
      <c r="X61" s="6">
        <f t="shared" si="20"/>
        <v>7524.3447084191976</v>
      </c>
      <c r="Y61" s="2"/>
      <c r="Z61" s="7">
        <f t="shared" si="21"/>
        <v>0.28108242508261683</v>
      </c>
    </row>
    <row r="62" spans="1:26" s="24" customFormat="1" hidden="1" outlineLevel="2" x14ac:dyDescent="0.3">
      <c r="A62" s="29"/>
      <c r="B62" s="11" t="str">
        <f>CONCATENATE("          ", "6119", " - ", "SICK LEAVE")</f>
        <v xml:space="preserve">          6119 - SICK LEAVE</v>
      </c>
      <c r="C62" s="11"/>
      <c r="D62" s="6">
        <v>3805.28</v>
      </c>
      <c r="E62" s="2"/>
      <c r="F62" s="7">
        <f t="shared" si="14"/>
        <v>7.6377068542261119E-3</v>
      </c>
      <c r="G62" s="2"/>
      <c r="H62" s="6">
        <v>5938.0840994923101</v>
      </c>
      <c r="I62" s="2"/>
      <c r="J62" s="7">
        <f t="shared" si="15"/>
        <v>1.433596107156607E-2</v>
      </c>
      <c r="K62" s="2"/>
      <c r="L62" s="6">
        <f t="shared" si="16"/>
        <v>-2132.8040994923099</v>
      </c>
      <c r="M62" s="2"/>
      <c r="N62" s="7">
        <f t="shared" si="17"/>
        <v>-0.35917377789827171</v>
      </c>
      <c r="O62" s="11"/>
      <c r="P62" s="6">
        <v>24780.14</v>
      </c>
      <c r="Q62" s="2"/>
      <c r="R62" s="7">
        <f t="shared" si="18"/>
        <v>6.7684396239162626E-3</v>
      </c>
      <c r="S62" s="2"/>
      <c r="T62" s="6">
        <v>39591.059531315397</v>
      </c>
      <c r="U62" s="2"/>
      <c r="V62" s="7">
        <f t="shared" si="19"/>
        <v>7.9922585835883082E-3</v>
      </c>
      <c r="W62" s="2"/>
      <c r="X62" s="6">
        <f t="shared" si="20"/>
        <v>-14810.919531315398</v>
      </c>
      <c r="Y62" s="2"/>
      <c r="Z62" s="7">
        <f t="shared" si="21"/>
        <v>-0.37409757926787446</v>
      </c>
    </row>
    <row r="63" spans="1:26" s="24" customFormat="1" hidden="1" outlineLevel="2" x14ac:dyDescent="0.3">
      <c r="A63" s="29"/>
      <c r="B63" s="11" t="str">
        <f>CONCATENATE("          ", "6156", " - ", "EMPLOYEE MEALS")</f>
        <v xml:space="preserve">          6156 - EMPLOYEE MEALS</v>
      </c>
      <c r="C63" s="11"/>
      <c r="D63" s="6">
        <v>2744.08</v>
      </c>
      <c r="E63" s="2"/>
      <c r="F63" s="7">
        <f t="shared" si="14"/>
        <v>5.5077362571334535E-3</v>
      </c>
      <c r="G63" s="2"/>
      <c r="H63" s="6">
        <v>2275</v>
      </c>
      <c r="I63" s="2"/>
      <c r="J63" s="7">
        <f t="shared" si="15"/>
        <v>5.4923963506345831E-3</v>
      </c>
      <c r="K63" s="2"/>
      <c r="L63" s="6">
        <f t="shared" si="16"/>
        <v>469.07999999999993</v>
      </c>
      <c r="M63" s="2"/>
      <c r="N63" s="7">
        <f t="shared" si="17"/>
        <v>0.20618901098901096</v>
      </c>
      <c r="O63" s="11"/>
      <c r="P63" s="6">
        <v>15646.57</v>
      </c>
      <c r="Q63" s="2"/>
      <c r="R63" s="7">
        <f t="shared" si="18"/>
        <v>4.2736991948544066E-3</v>
      </c>
      <c r="S63" s="2"/>
      <c r="T63" s="6">
        <v>14525</v>
      </c>
      <c r="U63" s="2"/>
      <c r="V63" s="7">
        <f t="shared" si="19"/>
        <v>2.9321659309167578E-3</v>
      </c>
      <c r="W63" s="2"/>
      <c r="X63" s="6">
        <f t="shared" si="20"/>
        <v>1121.5699999999997</v>
      </c>
      <c r="Y63" s="2"/>
      <c r="Z63" s="7">
        <f t="shared" si="21"/>
        <v>7.7216523235800319E-2</v>
      </c>
    </row>
    <row r="64" spans="1:26" s="28" customFormat="1" outlineLevel="1" collapsed="1" x14ac:dyDescent="0.3">
      <c r="A64" s="27"/>
      <c r="B64" s="14" t="str">
        <f>CONCATENATE("     ","*Payroll                                          ")</f>
        <v xml:space="preserve">     *Payroll                                          </v>
      </c>
      <c r="C64" s="14"/>
      <c r="D64" s="1">
        <f>SUM(OSRRefD22_1x_0)</f>
        <v>149267.02000000002</v>
      </c>
      <c r="E64" s="1"/>
      <c r="F64" s="5">
        <f t="shared" ref="F64:F74" si="22">IF(D$12=0,0,D64/D$12)</f>
        <v>0.29959891039921011</v>
      </c>
      <c r="G64" s="1"/>
      <c r="H64" s="1">
        <f>SUM(OSRRefH22_1x_0)</f>
        <v>153978.48208371529</v>
      </c>
      <c r="I64" s="1"/>
      <c r="J64" s="5">
        <f t="shared" ref="J64:J74" si="23">IF(H$12=0,0,H64/H$12)</f>
        <v>0.37174103431773642</v>
      </c>
      <c r="K64" s="1"/>
      <c r="L64" s="1">
        <f t="shared" ref="L64:L74" si="24">+D64-H64</f>
        <v>-4711.4620837152761</v>
      </c>
      <c r="M64" s="1"/>
      <c r="N64" s="5">
        <f t="shared" ref="N64:N74" si="25">IF(H64=0,0,L64/H64)</f>
        <v>-3.0598185018824515E-2</v>
      </c>
      <c r="O64" s="14"/>
      <c r="P64" s="1">
        <f>SUM(OSRRefP22_1x_0)</f>
        <v>954197.66</v>
      </c>
      <c r="Q64" s="1"/>
      <c r="R64" s="5">
        <f t="shared" ref="R64:R74" si="26">IF(P$12=0,0,P64/P$12)</f>
        <v>0.260629247897396</v>
      </c>
      <c r="S64" s="1"/>
      <c r="T64" s="1">
        <f>SUM(OSRRefT22_1x_0)</f>
        <v>1024802.4675826109</v>
      </c>
      <c r="U64" s="1"/>
      <c r="V64" s="5">
        <f t="shared" ref="V64:V74" si="27">IF(T$12=0,0,T64/T$12)</f>
        <v>0.20687716911291956</v>
      </c>
      <c r="W64" s="1"/>
      <c r="X64" s="1">
        <f t="shared" ref="X64:X74" si="28">+P64-T64</f>
        <v>-70604.807582610869</v>
      </c>
      <c r="Y64" s="1"/>
      <c r="Z64" s="5">
        <f t="shared" ref="Z64:Z74" si="29">IF(T64=0,0,X64/T64)</f>
        <v>-6.8896016370022364E-2</v>
      </c>
    </row>
    <row r="65" spans="1:26" s="24" customFormat="1" hidden="1" outlineLevel="2" x14ac:dyDescent="0.3">
      <c r="A65" s="29"/>
      <c r="B65" s="11" t="str">
        <f>CONCATENATE("          ", "6001", " - ", "ADMINISTRATIVE SALARIES")</f>
        <v xml:space="preserve">          6001 - ADMINISTRATIVE SALARIES</v>
      </c>
      <c r="C65" s="11"/>
      <c r="D65" s="6">
        <v>4658.26</v>
      </c>
      <c r="E65" s="2"/>
      <c r="F65" s="7">
        <f t="shared" si="22"/>
        <v>9.3497520105661949E-3</v>
      </c>
      <c r="G65" s="2"/>
      <c r="H65" s="6">
        <v>4139.8076923076896</v>
      </c>
      <c r="I65" s="2"/>
      <c r="J65" s="7">
        <f t="shared" si="23"/>
        <v>9.9944899611251557E-3</v>
      </c>
      <c r="K65" s="2"/>
      <c r="L65" s="6">
        <f t="shared" si="24"/>
        <v>518.45230769231057</v>
      </c>
      <c r="M65" s="2"/>
      <c r="N65" s="7">
        <f t="shared" si="25"/>
        <v>0.1252358433595028</v>
      </c>
      <c r="O65" s="11"/>
      <c r="P65" s="6">
        <v>28334.77</v>
      </c>
      <c r="Q65" s="2"/>
      <c r="R65" s="7">
        <f t="shared" si="26"/>
        <v>7.7393501409820037E-3</v>
      </c>
      <c r="S65" s="2"/>
      <c r="T65" s="6">
        <v>26908.75</v>
      </c>
      <c r="U65" s="2"/>
      <c r="V65" s="7">
        <f t="shared" si="27"/>
        <v>5.4320771079901069E-3</v>
      </c>
      <c r="W65" s="2"/>
      <c r="X65" s="6">
        <f t="shared" si="28"/>
        <v>1426.0200000000004</v>
      </c>
      <c r="Y65" s="2"/>
      <c r="Z65" s="7">
        <f t="shared" si="29"/>
        <v>5.2994657871510212E-2</v>
      </c>
    </row>
    <row r="66" spans="1:26" s="24" customFormat="1" hidden="1" outlineLevel="2" x14ac:dyDescent="0.3">
      <c r="A66" s="29"/>
      <c r="B66" s="11" t="str">
        <f>CONCATENATE("          ", "6002", " - ", "STAFF SALARIES")</f>
        <v xml:space="preserve">          6002 - STAFF SALARIES</v>
      </c>
      <c r="C66" s="11"/>
      <c r="D66" s="6">
        <v>52623.72</v>
      </c>
      <c r="E66" s="2"/>
      <c r="F66" s="7">
        <f t="shared" si="22"/>
        <v>0.10562285743463706</v>
      </c>
      <c r="G66" s="2"/>
      <c r="H66" s="6">
        <v>40067.404623407601</v>
      </c>
      <c r="I66" s="2"/>
      <c r="J66" s="7">
        <f t="shared" si="23"/>
        <v>9.6732337113407965E-2</v>
      </c>
      <c r="K66" s="2"/>
      <c r="L66" s="6">
        <f t="shared" si="24"/>
        <v>12556.3153765924</v>
      </c>
      <c r="M66" s="2"/>
      <c r="N66" s="7">
        <f t="shared" si="25"/>
        <v>0.31337980322431291</v>
      </c>
      <c r="O66" s="11"/>
      <c r="P66" s="6">
        <v>341639.07</v>
      </c>
      <c r="Q66" s="2"/>
      <c r="R66" s="7">
        <f t="shared" si="26"/>
        <v>9.3315187826457063E-2</v>
      </c>
      <c r="S66" s="2"/>
      <c r="T66" s="6">
        <v>278402.71659061097</v>
      </c>
      <c r="U66" s="2"/>
      <c r="V66" s="7">
        <f t="shared" si="27"/>
        <v>5.6201236534365789E-2</v>
      </c>
      <c r="W66" s="2"/>
      <c r="X66" s="6">
        <f t="shared" si="28"/>
        <v>63236.353409389034</v>
      </c>
      <c r="Y66" s="2"/>
      <c r="Z66" s="7">
        <f t="shared" si="29"/>
        <v>0.22713985762709923</v>
      </c>
    </row>
    <row r="67" spans="1:26" s="24" customFormat="1" hidden="1" outlineLevel="2" x14ac:dyDescent="0.3">
      <c r="A67" s="29"/>
      <c r="B67" s="11" t="str">
        <f>CONCATENATE("          ", "6003", " - ", "STAFF HOURLY-9 MONTH")</f>
        <v xml:space="preserve">          6003 - STAFF HOURLY-9 MONTH</v>
      </c>
      <c r="C67" s="11"/>
      <c r="D67" s="6"/>
      <c r="E67" s="2"/>
      <c r="F67" s="7">
        <f t="shared" si="22"/>
        <v>0</v>
      </c>
      <c r="G67" s="2"/>
      <c r="H67" s="6">
        <v>0</v>
      </c>
      <c r="I67" s="2"/>
      <c r="J67" s="7">
        <f t="shared" si="23"/>
        <v>0</v>
      </c>
      <c r="K67" s="2"/>
      <c r="L67" s="6">
        <f t="shared" si="24"/>
        <v>0</v>
      </c>
      <c r="M67" s="2"/>
      <c r="N67" s="7">
        <f t="shared" si="25"/>
        <v>0</v>
      </c>
      <c r="O67" s="11"/>
      <c r="P67" s="6"/>
      <c r="Q67" s="2"/>
      <c r="R67" s="7">
        <f t="shared" si="26"/>
        <v>0</v>
      </c>
      <c r="S67" s="2"/>
      <c r="T67" s="6">
        <v>0</v>
      </c>
      <c r="U67" s="2"/>
      <c r="V67" s="7">
        <f t="shared" si="27"/>
        <v>0</v>
      </c>
      <c r="W67" s="2"/>
      <c r="X67" s="6">
        <f t="shared" si="28"/>
        <v>0</v>
      </c>
      <c r="Y67" s="2"/>
      <c r="Z67" s="7">
        <f t="shared" si="29"/>
        <v>0</v>
      </c>
    </row>
    <row r="68" spans="1:26" s="24" customFormat="1" hidden="1" outlineLevel="2" x14ac:dyDescent="0.3">
      <c r="A68" s="29"/>
      <c r="B68" s="11" t="str">
        <f>CONCATENATE("          ", "6004", " - ", "STAFF HOURLY")</f>
        <v xml:space="preserve">          6004 - STAFF HOURLY</v>
      </c>
      <c r="C68" s="11"/>
      <c r="D68" s="6">
        <v>21860.77</v>
      </c>
      <c r="E68" s="2"/>
      <c r="F68" s="7">
        <f t="shared" si="22"/>
        <v>4.3877494656808583E-2</v>
      </c>
      <c r="G68" s="2"/>
      <c r="H68" s="6">
        <v>35790.514768000001</v>
      </c>
      <c r="I68" s="2"/>
      <c r="J68" s="7">
        <f t="shared" si="23"/>
        <v>8.6406897889712689E-2</v>
      </c>
      <c r="K68" s="2"/>
      <c r="L68" s="6">
        <f t="shared" si="24"/>
        <v>-13929.744768</v>
      </c>
      <c r="M68" s="2"/>
      <c r="N68" s="7">
        <f t="shared" si="25"/>
        <v>-0.38920213521082042</v>
      </c>
      <c r="O68" s="11"/>
      <c r="P68" s="6">
        <v>132474.35999999999</v>
      </c>
      <c r="Q68" s="2"/>
      <c r="R68" s="7">
        <f t="shared" si="26"/>
        <v>3.61840049078394E-2</v>
      </c>
      <c r="S68" s="2"/>
      <c r="T68" s="6">
        <v>220031.795992</v>
      </c>
      <c r="U68" s="2"/>
      <c r="V68" s="7">
        <f t="shared" si="27"/>
        <v>4.4417881991474617E-2</v>
      </c>
      <c r="W68" s="2"/>
      <c r="X68" s="6">
        <f t="shared" si="28"/>
        <v>-87557.435992000013</v>
      </c>
      <c r="Y68" s="2"/>
      <c r="Z68" s="7">
        <f t="shared" si="29"/>
        <v>-0.39793083357454145</v>
      </c>
    </row>
    <row r="69" spans="1:26" s="24" customFormat="1" hidden="1" outlineLevel="2" x14ac:dyDescent="0.3">
      <c r="A69" s="29"/>
      <c r="B69" s="11" t="str">
        <f>CONCATENATE("          ", "6005", " - ", "TEMPORARY WAGES-HOURLY")</f>
        <v xml:space="preserve">          6005 - TEMPORARY WAGES-HOURLY</v>
      </c>
      <c r="C69" s="11"/>
      <c r="D69" s="6">
        <v>6414.59</v>
      </c>
      <c r="E69" s="2"/>
      <c r="F69" s="7">
        <f t="shared" si="22"/>
        <v>1.287494166265039E-2</v>
      </c>
      <c r="G69" s="2"/>
      <c r="H69" s="6">
        <v>4198</v>
      </c>
      <c r="I69" s="2"/>
      <c r="J69" s="7">
        <f t="shared" si="23"/>
        <v>1.0134980167017135E-2</v>
      </c>
      <c r="K69" s="2"/>
      <c r="L69" s="6">
        <f t="shared" si="24"/>
        <v>2216.59</v>
      </c>
      <c r="M69" s="2"/>
      <c r="N69" s="7">
        <f t="shared" si="25"/>
        <v>0.52801095759885663</v>
      </c>
      <c r="O69" s="11"/>
      <c r="P69" s="6">
        <v>52847.44</v>
      </c>
      <c r="Q69" s="2"/>
      <c r="R69" s="7">
        <f t="shared" si="26"/>
        <v>1.4434733093458602E-2</v>
      </c>
      <c r="S69" s="2"/>
      <c r="T69" s="6">
        <v>22369</v>
      </c>
      <c r="U69" s="2"/>
      <c r="V69" s="7">
        <f t="shared" si="27"/>
        <v>4.5156364687557278E-3</v>
      </c>
      <c r="W69" s="2"/>
      <c r="X69" s="6">
        <f t="shared" si="28"/>
        <v>30478.440000000002</v>
      </c>
      <c r="Y69" s="2"/>
      <c r="Z69" s="7">
        <f t="shared" si="29"/>
        <v>1.3625302874513838</v>
      </c>
    </row>
    <row r="70" spans="1:26" s="24" customFormat="1" hidden="1" outlineLevel="2" x14ac:dyDescent="0.3">
      <c r="A70" s="29"/>
      <c r="B70" s="11" t="str">
        <f>CONCATENATE("          ", "6006", " - ", "TEMPORARY PART TIME")</f>
        <v xml:space="preserve">          6006 - TEMPORARY PART TIME</v>
      </c>
      <c r="C70" s="11"/>
      <c r="D70" s="6"/>
      <c r="E70" s="2"/>
      <c r="F70" s="7">
        <f t="shared" si="22"/>
        <v>0</v>
      </c>
      <c r="G70" s="2"/>
      <c r="H70" s="6">
        <v>0</v>
      </c>
      <c r="I70" s="2"/>
      <c r="J70" s="7">
        <f t="shared" si="23"/>
        <v>0</v>
      </c>
      <c r="K70" s="2"/>
      <c r="L70" s="6">
        <f t="shared" si="24"/>
        <v>0</v>
      </c>
      <c r="M70" s="2"/>
      <c r="N70" s="7">
        <f t="shared" si="25"/>
        <v>0</v>
      </c>
      <c r="O70" s="11"/>
      <c r="P70" s="6">
        <v>9877.6200000000008</v>
      </c>
      <c r="Q70" s="2"/>
      <c r="R70" s="7">
        <f t="shared" si="26"/>
        <v>2.6979700113876578E-3</v>
      </c>
      <c r="S70" s="2"/>
      <c r="T70" s="6">
        <v>0</v>
      </c>
      <c r="U70" s="2"/>
      <c r="V70" s="7">
        <f t="shared" si="27"/>
        <v>0</v>
      </c>
      <c r="W70" s="2"/>
      <c r="X70" s="6">
        <f t="shared" si="28"/>
        <v>9877.6200000000008</v>
      </c>
      <c r="Y70" s="2"/>
      <c r="Z70" s="7">
        <f t="shared" si="29"/>
        <v>0</v>
      </c>
    </row>
    <row r="71" spans="1:26" s="24" customFormat="1" hidden="1" outlineLevel="2" x14ac:dyDescent="0.3">
      <c r="A71" s="29"/>
      <c r="B71" s="11" t="str">
        <f>CONCATENATE("          ", "6007", " - ", "STUDENT HOURLY")</f>
        <v xml:space="preserve">          6007 - STUDENT HOURLY</v>
      </c>
      <c r="C71" s="11"/>
      <c r="D71" s="6">
        <v>57123.01</v>
      </c>
      <c r="E71" s="2"/>
      <c r="F71" s="7">
        <f t="shared" si="22"/>
        <v>0.11465353535377863</v>
      </c>
      <c r="G71" s="2"/>
      <c r="H71" s="6">
        <v>27936</v>
      </c>
      <c r="I71" s="2"/>
      <c r="J71" s="7">
        <f t="shared" si="23"/>
        <v>6.7444212945638557E-2</v>
      </c>
      <c r="K71" s="2"/>
      <c r="L71" s="6">
        <f t="shared" si="24"/>
        <v>29187.010000000002</v>
      </c>
      <c r="M71" s="2"/>
      <c r="N71" s="7">
        <f t="shared" si="25"/>
        <v>1.0447812857961054</v>
      </c>
      <c r="O71" s="11"/>
      <c r="P71" s="6">
        <v>331732.06</v>
      </c>
      <c r="Q71" s="2"/>
      <c r="R71" s="7">
        <f t="shared" si="26"/>
        <v>9.060919023973904E-2</v>
      </c>
      <c r="S71" s="2"/>
      <c r="T71" s="6">
        <v>214984.48</v>
      </c>
      <c r="U71" s="2"/>
      <c r="V71" s="7">
        <f t="shared" si="27"/>
        <v>4.3398978859335975E-2</v>
      </c>
      <c r="W71" s="2"/>
      <c r="X71" s="6">
        <f t="shared" si="28"/>
        <v>116747.57999999999</v>
      </c>
      <c r="Y71" s="2"/>
      <c r="Z71" s="7">
        <f t="shared" si="29"/>
        <v>0.54305120071923318</v>
      </c>
    </row>
    <row r="72" spans="1:26" s="24" customFormat="1" hidden="1" outlineLevel="2" x14ac:dyDescent="0.3">
      <c r="A72" s="29"/>
      <c r="B72" s="11" t="str">
        <f>CONCATENATE("          ", "6008", " - ", "STUDENT HOURLY-FICA EXEMPT")</f>
        <v xml:space="preserve">          6008 - STUDENT HOURLY-FICA EXEMPT</v>
      </c>
      <c r="C72" s="11"/>
      <c r="D72" s="6">
        <v>6586.67</v>
      </c>
      <c r="E72" s="2"/>
      <c r="F72" s="7">
        <f t="shared" si="22"/>
        <v>1.3220329280769222E-2</v>
      </c>
      <c r="G72" s="2"/>
      <c r="H72" s="6">
        <v>41846.754999999997</v>
      </c>
      <c r="I72" s="2"/>
      <c r="J72" s="7">
        <f t="shared" si="23"/>
        <v>0.10102811624083494</v>
      </c>
      <c r="K72" s="2"/>
      <c r="L72" s="6">
        <f t="shared" si="24"/>
        <v>-35260.084999999999</v>
      </c>
      <c r="M72" s="2"/>
      <c r="N72" s="7">
        <f t="shared" si="25"/>
        <v>-0.84260022073396135</v>
      </c>
      <c r="O72" s="11"/>
      <c r="P72" s="6">
        <v>57292.34</v>
      </c>
      <c r="Q72" s="2"/>
      <c r="R72" s="7">
        <f t="shared" si="26"/>
        <v>1.5648811677532192E-2</v>
      </c>
      <c r="S72" s="2"/>
      <c r="T72" s="6">
        <v>262105.72500000001</v>
      </c>
      <c r="U72" s="2"/>
      <c r="V72" s="7">
        <f t="shared" si="27"/>
        <v>5.2911358150997359E-2</v>
      </c>
      <c r="W72" s="2"/>
      <c r="X72" s="6">
        <f t="shared" si="28"/>
        <v>-204813.38500000001</v>
      </c>
      <c r="Y72" s="2"/>
      <c r="Z72" s="7">
        <f t="shared" si="29"/>
        <v>-0.78141515222530911</v>
      </c>
    </row>
    <row r="73" spans="1:26" s="24" customFormat="1" hidden="1" outlineLevel="2" x14ac:dyDescent="0.3">
      <c r="A73" s="29"/>
      <c r="B73" s="11" t="str">
        <f>CONCATENATE("          ", "6009", " - ", "TEMPORARY-SEASONAL")</f>
        <v xml:space="preserve">          6009 - TEMPORARY-SEASONAL</v>
      </c>
      <c r="C73" s="11"/>
      <c r="D73" s="6"/>
      <c r="E73" s="2"/>
      <c r="F73" s="7">
        <f t="shared" si="22"/>
        <v>0</v>
      </c>
      <c r="G73" s="2"/>
      <c r="H73" s="6">
        <v>0</v>
      </c>
      <c r="I73" s="2"/>
      <c r="J73" s="7">
        <f t="shared" si="23"/>
        <v>0</v>
      </c>
      <c r="K73" s="2"/>
      <c r="L73" s="6">
        <f t="shared" si="24"/>
        <v>0</v>
      </c>
      <c r="M73" s="2"/>
      <c r="N73" s="7">
        <f t="shared" si="25"/>
        <v>0</v>
      </c>
      <c r="O73" s="11"/>
      <c r="P73" s="6"/>
      <c r="Q73" s="2"/>
      <c r="R73" s="7">
        <f t="shared" si="26"/>
        <v>0</v>
      </c>
      <c r="S73" s="2"/>
      <c r="T73" s="6">
        <v>0</v>
      </c>
      <c r="U73" s="2"/>
      <c r="V73" s="7">
        <f t="shared" si="27"/>
        <v>0</v>
      </c>
      <c r="W73" s="2"/>
      <c r="X73" s="6">
        <f t="shared" si="28"/>
        <v>0</v>
      </c>
      <c r="Y73" s="2"/>
      <c r="Z73" s="7">
        <f t="shared" si="29"/>
        <v>0</v>
      </c>
    </row>
    <row r="74" spans="1:26" s="24" customFormat="1" hidden="1" outlineLevel="2" x14ac:dyDescent="0.3">
      <c r="A74" s="29"/>
      <c r="B74" s="11" t="str">
        <f>CONCATENATE("          ", "6010", " - ", "GRATUITY")</f>
        <v xml:space="preserve">          6010 - GRATUITY</v>
      </c>
      <c r="C74" s="11"/>
      <c r="D74" s="6"/>
      <c r="E74" s="2"/>
      <c r="F74" s="7">
        <f t="shared" si="22"/>
        <v>0</v>
      </c>
      <c r="G74" s="2"/>
      <c r="H74" s="6">
        <v>0</v>
      </c>
      <c r="I74" s="2"/>
      <c r="J74" s="7">
        <f t="shared" si="23"/>
        <v>0</v>
      </c>
      <c r="K74" s="2"/>
      <c r="L74" s="6">
        <f t="shared" si="24"/>
        <v>0</v>
      </c>
      <c r="M74" s="2"/>
      <c r="N74" s="7">
        <f t="shared" si="25"/>
        <v>0</v>
      </c>
      <c r="O74" s="11"/>
      <c r="P74" s="6"/>
      <c r="Q74" s="2"/>
      <c r="R74" s="7">
        <f t="shared" si="26"/>
        <v>0</v>
      </c>
      <c r="S74" s="2"/>
      <c r="T74" s="6">
        <v>0</v>
      </c>
      <c r="U74" s="2"/>
      <c r="V74" s="7">
        <f t="shared" si="27"/>
        <v>0</v>
      </c>
      <c r="W74" s="2"/>
      <c r="X74" s="6">
        <f t="shared" si="28"/>
        <v>0</v>
      </c>
      <c r="Y74" s="2"/>
      <c r="Z74" s="7">
        <f t="shared" si="29"/>
        <v>0</v>
      </c>
    </row>
    <row r="75" spans="1:26" s="28" customFormat="1" outlineLevel="1" collapsed="1" x14ac:dyDescent="0.3">
      <c r="A75" s="27"/>
      <c r="B75" s="14" t="str">
        <f>CONCATENATE("     ","Advertising/Promo                                 ")</f>
        <v xml:space="preserve">     Advertising/Promo                                 </v>
      </c>
      <c r="C75" s="14"/>
      <c r="D75" s="1">
        <f>SUM(OSRRefD22_2x_0)</f>
        <v>722.3</v>
      </c>
      <c r="E75" s="1"/>
      <c r="F75" s="5">
        <f t="shared" ref="F75:F83" si="30">IF(D$12=0,0,D75/D$12)</f>
        <v>1.4497528856766179E-3</v>
      </c>
      <c r="G75" s="1"/>
      <c r="H75" s="1">
        <f>SUM(OSRRefH22_2x_0)</f>
        <v>400</v>
      </c>
      <c r="I75" s="1"/>
      <c r="J75" s="5">
        <f t="shared" ref="J75:J83" si="31">IF(H$12=0,0,H75/H$12)</f>
        <v>9.6569606165003658E-4</v>
      </c>
      <c r="K75" s="1"/>
      <c r="L75" s="1">
        <f t="shared" ref="L75:L83" si="32">+D75-H75</f>
        <v>322.29999999999995</v>
      </c>
      <c r="M75" s="1"/>
      <c r="N75" s="5">
        <f t="shared" ref="N75:N83" si="33">IF(H75=0,0,L75/H75)</f>
        <v>0.80574999999999986</v>
      </c>
      <c r="O75" s="14"/>
      <c r="P75" s="1">
        <f>SUM(OSRRefP22_2x_0)</f>
        <v>5554.99</v>
      </c>
      <c r="Q75" s="1"/>
      <c r="R75" s="5">
        <f t="shared" ref="R75:R83" si="34">IF(P$12=0,0,P75/P$12)</f>
        <v>1.517288216549971E-3</v>
      </c>
      <c r="S75" s="1"/>
      <c r="T75" s="1">
        <f>SUM(OSRRefT22_2x_0)</f>
        <v>4900</v>
      </c>
      <c r="U75" s="1"/>
      <c r="V75" s="5">
        <f t="shared" ref="V75:V83" si="35">IF(T$12=0,0,T75/T$12)</f>
        <v>9.8916441042974949E-4</v>
      </c>
      <c r="W75" s="1"/>
      <c r="X75" s="1">
        <f t="shared" ref="X75:X83" si="36">+P75-T75</f>
        <v>654.98999999999978</v>
      </c>
      <c r="Y75" s="1"/>
      <c r="Z75" s="5">
        <f t="shared" ref="Z75:Z83" si="37">IF(T75=0,0,X75/T75)</f>
        <v>0.13367142857142852</v>
      </c>
    </row>
    <row r="76" spans="1:26" s="24" customFormat="1" hidden="1" outlineLevel="2" x14ac:dyDescent="0.3">
      <c r="A76" s="29"/>
      <c r="B76" s="11" t="str">
        <f>CONCATENATE("          ", "6362", " - ", "ADVERTISING EXPENSE")</f>
        <v xml:space="preserve">          6362 - ADVERTISING EXPENSE</v>
      </c>
      <c r="C76" s="11"/>
      <c r="D76" s="6">
        <v>722.3</v>
      </c>
      <c r="E76" s="2"/>
      <c r="F76" s="7">
        <f t="shared" si="30"/>
        <v>1.4497528856766179E-3</v>
      </c>
      <c r="G76" s="2"/>
      <c r="H76" s="6">
        <v>400</v>
      </c>
      <c r="I76" s="2"/>
      <c r="J76" s="7">
        <f t="shared" si="31"/>
        <v>9.6569606165003658E-4</v>
      </c>
      <c r="K76" s="2"/>
      <c r="L76" s="6">
        <f t="shared" si="32"/>
        <v>322.29999999999995</v>
      </c>
      <c r="M76" s="2"/>
      <c r="N76" s="7">
        <f t="shared" si="33"/>
        <v>0.80574999999999986</v>
      </c>
      <c r="O76" s="11"/>
      <c r="P76" s="6">
        <v>5554.99</v>
      </c>
      <c r="Q76" s="2"/>
      <c r="R76" s="7">
        <f t="shared" si="34"/>
        <v>1.517288216549971E-3</v>
      </c>
      <c r="S76" s="2"/>
      <c r="T76" s="6">
        <v>4900</v>
      </c>
      <c r="U76" s="2"/>
      <c r="V76" s="7">
        <f t="shared" si="35"/>
        <v>9.8916441042974949E-4</v>
      </c>
      <c r="W76" s="2"/>
      <c r="X76" s="6">
        <f t="shared" si="36"/>
        <v>654.98999999999978</v>
      </c>
      <c r="Y76" s="2"/>
      <c r="Z76" s="7">
        <f t="shared" si="37"/>
        <v>0.13367142857142852</v>
      </c>
    </row>
    <row r="77" spans="1:26" s="28" customFormat="1" outlineLevel="1" collapsed="1" x14ac:dyDescent="0.3">
      <c r="A77" s="27"/>
      <c r="B77" s="14" t="str">
        <f>CONCATENATE("     ","Bad Debts/Over/Short                              ")</f>
        <v xml:space="preserve">     Bad Debts/Over/Short                              </v>
      </c>
      <c r="C77" s="14"/>
      <c r="D77" s="1">
        <f>SUM(OSRRefD22_3x_0)</f>
        <v>-24.66</v>
      </c>
      <c r="E77" s="1"/>
      <c r="F77" s="5">
        <f t="shared" si="30"/>
        <v>-4.9495924353849363E-5</v>
      </c>
      <c r="G77" s="1"/>
      <c r="H77" s="1">
        <f>SUM(OSRRefH22_3x_0)</f>
        <v>235</v>
      </c>
      <c r="I77" s="1"/>
      <c r="J77" s="5">
        <f t="shared" si="31"/>
        <v>5.6734643621939647E-4</v>
      </c>
      <c r="K77" s="1"/>
      <c r="L77" s="1">
        <f t="shared" si="32"/>
        <v>-259.66000000000003</v>
      </c>
      <c r="M77" s="1"/>
      <c r="N77" s="5">
        <f t="shared" si="33"/>
        <v>-1.104936170212766</v>
      </c>
      <c r="O77" s="14"/>
      <c r="P77" s="1">
        <f>SUM(OSRRefP22_3x_0)</f>
        <v>153.06</v>
      </c>
      <c r="Q77" s="1"/>
      <c r="R77" s="5">
        <f t="shared" si="34"/>
        <v>4.1806760124705637E-5</v>
      </c>
      <c r="S77" s="1"/>
      <c r="T77" s="1">
        <f>SUM(OSRRefT22_3x_0)</f>
        <v>1410</v>
      </c>
      <c r="U77" s="1"/>
      <c r="V77" s="5">
        <f t="shared" si="35"/>
        <v>2.846371058583565E-4</v>
      </c>
      <c r="W77" s="1"/>
      <c r="X77" s="1">
        <f t="shared" si="36"/>
        <v>-1256.94</v>
      </c>
      <c r="Y77" s="1"/>
      <c r="Z77" s="5">
        <f t="shared" si="37"/>
        <v>-0.89144680851063829</v>
      </c>
    </row>
    <row r="78" spans="1:26" s="24" customFormat="1" hidden="1" outlineLevel="2" x14ac:dyDescent="0.3">
      <c r="A78" s="29"/>
      <c r="B78" s="11" t="str">
        <f>CONCATENATE("          ", "6272", " - ", "CASH (OVER/SHORT)")</f>
        <v xml:space="preserve">          6272 - CASH (OVER/SHORT)</v>
      </c>
      <c r="C78" s="11"/>
      <c r="D78" s="6">
        <v>-24.66</v>
      </c>
      <c r="E78" s="2"/>
      <c r="F78" s="7">
        <f t="shared" si="30"/>
        <v>-4.9495924353849363E-5</v>
      </c>
      <c r="G78" s="2"/>
      <c r="H78" s="6">
        <v>235</v>
      </c>
      <c r="I78" s="2"/>
      <c r="J78" s="7">
        <f t="shared" si="31"/>
        <v>5.6734643621939647E-4</v>
      </c>
      <c r="K78" s="2"/>
      <c r="L78" s="6">
        <f t="shared" si="32"/>
        <v>-259.66000000000003</v>
      </c>
      <c r="M78" s="2"/>
      <c r="N78" s="7">
        <f t="shared" si="33"/>
        <v>-1.104936170212766</v>
      </c>
      <c r="O78" s="11"/>
      <c r="P78" s="6">
        <v>153.06</v>
      </c>
      <c r="Q78" s="2"/>
      <c r="R78" s="7">
        <f t="shared" si="34"/>
        <v>4.1806760124705637E-5</v>
      </c>
      <c r="S78" s="2"/>
      <c r="T78" s="6">
        <v>1410</v>
      </c>
      <c r="U78" s="2"/>
      <c r="V78" s="7">
        <f t="shared" si="35"/>
        <v>2.846371058583565E-4</v>
      </c>
      <c r="W78" s="2"/>
      <c r="X78" s="6">
        <f t="shared" si="36"/>
        <v>-1256.94</v>
      </c>
      <c r="Y78" s="2"/>
      <c r="Z78" s="7">
        <f t="shared" si="37"/>
        <v>-0.89144680851063829</v>
      </c>
    </row>
    <row r="79" spans="1:26" s="28" customFormat="1" outlineLevel="1" collapsed="1" x14ac:dyDescent="0.3">
      <c r="A79" s="27"/>
      <c r="B79" s="14" t="str">
        <f>CONCATENATE("     ","Bank/card Fees                                    ")</f>
        <v xml:space="preserve">     Bank/card Fees                                    </v>
      </c>
      <c r="C79" s="14"/>
      <c r="D79" s="1">
        <f>SUM(OSRRefD22_4x_0)</f>
        <v>9159.44</v>
      </c>
      <c r="E79" s="1"/>
      <c r="F79" s="5">
        <f t="shared" si="30"/>
        <v>1.8384223412961153E-2</v>
      </c>
      <c r="G79" s="1"/>
      <c r="H79" s="1">
        <f>SUM(OSRRefH22_4x_0)</f>
        <v>7972</v>
      </c>
      <c r="I79" s="1"/>
      <c r="J79" s="5">
        <f t="shared" si="31"/>
        <v>1.9246322508685229E-2</v>
      </c>
      <c r="K79" s="1"/>
      <c r="L79" s="1">
        <f t="shared" si="32"/>
        <v>1187.4400000000005</v>
      </c>
      <c r="M79" s="1"/>
      <c r="N79" s="5">
        <f t="shared" si="33"/>
        <v>0.14895132965378832</v>
      </c>
      <c r="O79" s="14"/>
      <c r="P79" s="1">
        <f>SUM(OSRRefP22_4x_0)</f>
        <v>67366.59</v>
      </c>
      <c r="Q79" s="1"/>
      <c r="R79" s="5">
        <f t="shared" si="34"/>
        <v>1.840048914510253E-2</v>
      </c>
      <c r="S79" s="1"/>
      <c r="T79" s="1">
        <f>SUM(OSRRefT22_4x_0)</f>
        <v>100577</v>
      </c>
      <c r="U79" s="1"/>
      <c r="V79" s="5">
        <f t="shared" si="35"/>
        <v>2.0303507940365902E-2</v>
      </c>
      <c r="W79" s="1"/>
      <c r="X79" s="1">
        <f t="shared" si="36"/>
        <v>-33210.410000000003</v>
      </c>
      <c r="Y79" s="1"/>
      <c r="Z79" s="5">
        <f t="shared" si="37"/>
        <v>-0.33019885262038046</v>
      </c>
    </row>
    <row r="80" spans="1:26" s="24" customFormat="1" hidden="1" outlineLevel="2" x14ac:dyDescent="0.3">
      <c r="A80" s="29"/>
      <c r="B80" s="11" t="str">
        <f>CONCATENATE("          ", "6381", " - ", "BANK/CREDIT CARD FEES")</f>
        <v xml:space="preserve">          6381 - BANK/CREDIT CARD FEES</v>
      </c>
      <c r="C80" s="11"/>
      <c r="D80" s="6">
        <v>9159.44</v>
      </c>
      <c r="E80" s="2"/>
      <c r="F80" s="7">
        <f t="shared" si="30"/>
        <v>1.8384223412961153E-2</v>
      </c>
      <c r="G80" s="2"/>
      <c r="H80" s="6">
        <v>7972</v>
      </c>
      <c r="I80" s="2"/>
      <c r="J80" s="7">
        <f t="shared" si="31"/>
        <v>1.9246322508685229E-2</v>
      </c>
      <c r="K80" s="2"/>
      <c r="L80" s="6">
        <f t="shared" si="32"/>
        <v>1187.4400000000005</v>
      </c>
      <c r="M80" s="2"/>
      <c r="N80" s="7">
        <f t="shared" si="33"/>
        <v>0.14895132965378832</v>
      </c>
      <c r="O80" s="11"/>
      <c r="P80" s="6">
        <v>67366.59</v>
      </c>
      <c r="Q80" s="2"/>
      <c r="R80" s="7">
        <f t="shared" si="34"/>
        <v>1.840048914510253E-2</v>
      </c>
      <c r="S80" s="2"/>
      <c r="T80" s="6">
        <v>100577</v>
      </c>
      <c r="U80" s="2"/>
      <c r="V80" s="7">
        <f t="shared" si="35"/>
        <v>2.0303507940365902E-2</v>
      </c>
      <c r="W80" s="2"/>
      <c r="X80" s="6">
        <f t="shared" si="36"/>
        <v>-33210.410000000003</v>
      </c>
      <c r="Y80" s="2"/>
      <c r="Z80" s="7">
        <f t="shared" si="37"/>
        <v>-0.33019885262038046</v>
      </c>
    </row>
    <row r="81" spans="1:26" s="28" customFormat="1" outlineLevel="1" collapsed="1" x14ac:dyDescent="0.3">
      <c r="A81" s="27"/>
      <c r="B81" s="14" t="str">
        <f>CONCATENATE("     ","Depreciation                                      ")</f>
        <v xml:space="preserve">     Depreciation                                      </v>
      </c>
      <c r="C81" s="14"/>
      <c r="D81" s="1">
        <f>SUM(OSRRefD22_5x_0)</f>
        <v>30614.839999999997</v>
      </c>
      <c r="E81" s="1"/>
      <c r="F81" s="5">
        <f t="shared" si="30"/>
        <v>6.1448086161605901E-2</v>
      </c>
      <c r="G81" s="1"/>
      <c r="H81" s="1">
        <f>SUM(OSRRefH22_5x_0)</f>
        <v>30494</v>
      </c>
      <c r="I81" s="1"/>
      <c r="J81" s="5">
        <f t="shared" si="31"/>
        <v>7.3619839259890532E-2</v>
      </c>
      <c r="K81" s="1"/>
      <c r="L81" s="1">
        <f t="shared" si="32"/>
        <v>120.83999999999651</v>
      </c>
      <c r="M81" s="1"/>
      <c r="N81" s="5">
        <f t="shared" si="33"/>
        <v>3.9627467698562504E-3</v>
      </c>
      <c r="O81" s="14"/>
      <c r="P81" s="1">
        <f>SUM(OSRRefP22_5x_0)</f>
        <v>184006.59</v>
      </c>
      <c r="Q81" s="1"/>
      <c r="R81" s="5">
        <f t="shared" si="34"/>
        <v>5.0259501956716704E-2</v>
      </c>
      <c r="S81" s="1"/>
      <c r="T81" s="1">
        <f>SUM(OSRRefT22_5x_0)</f>
        <v>183281</v>
      </c>
      <c r="U81" s="1"/>
      <c r="V81" s="5">
        <f t="shared" si="35"/>
        <v>3.699898822611733E-2</v>
      </c>
      <c r="W81" s="1"/>
      <c r="X81" s="1">
        <f t="shared" si="36"/>
        <v>725.58999999999651</v>
      </c>
      <c r="Y81" s="1"/>
      <c r="Z81" s="5">
        <f t="shared" si="37"/>
        <v>3.958893720571126E-3</v>
      </c>
    </row>
    <row r="82" spans="1:26" s="24" customFormat="1" hidden="1" outlineLevel="2" x14ac:dyDescent="0.3">
      <c r="A82" s="29"/>
      <c r="B82" s="11" t="str">
        <f>CONCATENATE("          ", "6321", " - ", "BUILDING DEPRECIATION")</f>
        <v xml:space="preserve">          6321 - BUILDING DEPRECIATION</v>
      </c>
      <c r="C82" s="11"/>
      <c r="D82" s="6">
        <v>16396.509999999998</v>
      </c>
      <c r="E82" s="2"/>
      <c r="F82" s="7">
        <f t="shared" si="30"/>
        <v>3.2909992645058173E-2</v>
      </c>
      <c r="G82" s="2"/>
      <c r="H82" s="6"/>
      <c r="I82" s="2"/>
      <c r="J82" s="7">
        <f t="shared" si="31"/>
        <v>0</v>
      </c>
      <c r="K82" s="2"/>
      <c r="L82" s="6">
        <f t="shared" si="32"/>
        <v>16396.509999999998</v>
      </c>
      <c r="M82" s="2"/>
      <c r="N82" s="7">
        <f t="shared" si="33"/>
        <v>0</v>
      </c>
      <c r="O82" s="11"/>
      <c r="P82" s="6">
        <v>98379.11</v>
      </c>
      <c r="Q82" s="2"/>
      <c r="R82" s="7">
        <f t="shared" si="34"/>
        <v>2.6871239076519206E-2</v>
      </c>
      <c r="S82" s="2"/>
      <c r="T82" s="6"/>
      <c r="U82" s="2"/>
      <c r="V82" s="7">
        <f t="shared" si="35"/>
        <v>0</v>
      </c>
      <c r="W82" s="2"/>
      <c r="X82" s="6">
        <f t="shared" si="36"/>
        <v>98379.11</v>
      </c>
      <c r="Y82" s="2"/>
      <c r="Z82" s="7">
        <f t="shared" si="37"/>
        <v>0</v>
      </c>
    </row>
    <row r="83" spans="1:26" s="24" customFormat="1" hidden="1" outlineLevel="2" x14ac:dyDescent="0.3">
      <c r="A83" s="29"/>
      <c r="B83" s="11" t="str">
        <f>CONCATENATE("          ", "6322", " - ", "EQUIPMENT DEPRECIATION EXPENSE")</f>
        <v xml:space="preserve">          6322 - EQUIPMENT DEPRECIATION EXPENSE</v>
      </c>
      <c r="C83" s="11"/>
      <c r="D83" s="6">
        <v>14218.33</v>
      </c>
      <c r="E83" s="2"/>
      <c r="F83" s="7">
        <f t="shared" si="30"/>
        <v>2.8538093516547732E-2</v>
      </c>
      <c r="G83" s="2"/>
      <c r="H83" s="6">
        <v>30494</v>
      </c>
      <c r="I83" s="2"/>
      <c r="J83" s="7">
        <f t="shared" si="31"/>
        <v>7.3619839259890532E-2</v>
      </c>
      <c r="K83" s="2"/>
      <c r="L83" s="6">
        <f t="shared" si="32"/>
        <v>-16275.67</v>
      </c>
      <c r="M83" s="2"/>
      <c r="N83" s="7">
        <f t="shared" si="33"/>
        <v>-0.53373352134846197</v>
      </c>
      <c r="O83" s="11"/>
      <c r="P83" s="6">
        <v>85627.48</v>
      </c>
      <c r="Q83" s="2"/>
      <c r="R83" s="7">
        <f t="shared" si="34"/>
        <v>2.3388262880197498E-2</v>
      </c>
      <c r="S83" s="2"/>
      <c r="T83" s="6">
        <v>183281</v>
      </c>
      <c r="U83" s="2"/>
      <c r="V83" s="7">
        <f t="shared" si="35"/>
        <v>3.699898822611733E-2</v>
      </c>
      <c r="W83" s="2"/>
      <c r="X83" s="6">
        <f t="shared" si="36"/>
        <v>-97653.52</v>
      </c>
      <c r="Y83" s="2"/>
      <c r="Z83" s="7">
        <f t="shared" si="37"/>
        <v>-0.5328076560036229</v>
      </c>
    </row>
    <row r="84" spans="1:26" s="28" customFormat="1" outlineLevel="1" collapsed="1" x14ac:dyDescent="0.3">
      <c r="A84" s="27"/>
      <c r="B84" s="14" t="str">
        <f>CONCATENATE("     ","Discounts and Markdowns                           ")</f>
        <v xml:space="preserve">     Discounts and Markdowns                           </v>
      </c>
      <c r="C84" s="14"/>
      <c r="D84" s="1">
        <f>SUM(OSRRefD22_6x_0)</f>
        <v>11.17</v>
      </c>
      <c r="E84" s="1"/>
      <c r="F84" s="5">
        <f t="shared" ref="F84:F86" si="38">IF(D$12=0,0,D84/D$12)</f>
        <v>2.2419686740977185E-5</v>
      </c>
      <c r="G84" s="1"/>
      <c r="H84" s="1">
        <f>SUM(OSRRefH22_6x_0)</f>
        <v>0</v>
      </c>
      <c r="I84" s="1"/>
      <c r="J84" s="5">
        <f t="shared" ref="J84:J86" si="39">IF(H$12=0,0,H84/H$12)</f>
        <v>0</v>
      </c>
      <c r="K84" s="1"/>
      <c r="L84" s="1">
        <f t="shared" ref="L84:L86" si="40">+D84-H84</f>
        <v>11.17</v>
      </c>
      <c r="M84" s="1"/>
      <c r="N84" s="5">
        <f t="shared" ref="N84:N86" si="41">IF(H84=0,0,L84/H84)</f>
        <v>0</v>
      </c>
      <c r="O84" s="14"/>
      <c r="P84" s="1">
        <f>SUM(OSRRefP22_6x_0)</f>
        <v>3354.8</v>
      </c>
      <c r="Q84" s="1"/>
      <c r="R84" s="5">
        <f t="shared" ref="R84:R86" si="42">IF(P$12=0,0,P84/P$12)</f>
        <v>9.1632901389234595E-4</v>
      </c>
      <c r="S84" s="1"/>
      <c r="T84" s="1">
        <f>SUM(OSRRefT22_6x_0)</f>
        <v>0</v>
      </c>
      <c r="U84" s="1"/>
      <c r="V84" s="5">
        <f t="shared" ref="V84:V86" si="43">IF(T$12=0,0,T84/T$12)</f>
        <v>0</v>
      </c>
      <c r="W84" s="1"/>
      <c r="X84" s="1">
        <f t="shared" ref="X84:X86" si="44">+P84-T84</f>
        <v>3354.8</v>
      </c>
      <c r="Y84" s="1"/>
      <c r="Z84" s="5">
        <f t="shared" ref="Z84:Z86" si="45">IF(T84=0,0,X84/T84)</f>
        <v>0</v>
      </c>
    </row>
    <row r="85" spans="1:26" s="24" customFormat="1" hidden="1" outlineLevel="2" x14ac:dyDescent="0.3">
      <c r="A85" s="29"/>
      <c r="B85" s="11" t="str">
        <f>CONCATENATE("          ", "6382", " - ", "DISCOUNTS/MARK DOWNS")</f>
        <v xml:space="preserve">          6382 - DISCOUNTS/MARK DOWNS</v>
      </c>
      <c r="C85" s="11"/>
      <c r="D85" s="6"/>
      <c r="E85" s="2"/>
      <c r="F85" s="7">
        <f t="shared" si="38"/>
        <v>0</v>
      </c>
      <c r="G85" s="2"/>
      <c r="H85" s="6"/>
      <c r="I85" s="2"/>
      <c r="J85" s="7">
        <f t="shared" si="39"/>
        <v>0</v>
      </c>
      <c r="K85" s="2"/>
      <c r="L85" s="6">
        <f t="shared" si="40"/>
        <v>0</v>
      </c>
      <c r="M85" s="2"/>
      <c r="N85" s="7">
        <f t="shared" si="41"/>
        <v>0</v>
      </c>
      <c r="O85" s="11"/>
      <c r="P85" s="6">
        <v>3410</v>
      </c>
      <c r="Q85" s="2"/>
      <c r="R85" s="7">
        <f t="shared" si="42"/>
        <v>9.3140632448220453E-4</v>
      </c>
      <c r="S85" s="2"/>
      <c r="T85" s="6">
        <v>0</v>
      </c>
      <c r="U85" s="2"/>
      <c r="V85" s="7">
        <f t="shared" si="43"/>
        <v>0</v>
      </c>
      <c r="W85" s="2"/>
      <c r="X85" s="6">
        <f t="shared" si="44"/>
        <v>3410</v>
      </c>
      <c r="Y85" s="2"/>
      <c r="Z85" s="7">
        <f t="shared" si="45"/>
        <v>0</v>
      </c>
    </row>
    <row r="86" spans="1:26" s="24" customFormat="1" hidden="1" outlineLevel="2" x14ac:dyDescent="0.3">
      <c r="A86" s="29"/>
      <c r="B86" s="11" t="str">
        <f>CONCATENATE("          ", "9175", " - ", "EARNED DISCOUNTS")</f>
        <v xml:space="preserve">          9175 - EARNED DISCOUNTS</v>
      </c>
      <c r="C86" s="11"/>
      <c r="D86" s="6">
        <v>11.17</v>
      </c>
      <c r="E86" s="2"/>
      <c r="F86" s="7">
        <f t="shared" si="38"/>
        <v>2.2419686740977185E-5</v>
      </c>
      <c r="G86" s="2"/>
      <c r="H86" s="6"/>
      <c r="I86" s="2"/>
      <c r="J86" s="7">
        <f t="shared" si="39"/>
        <v>0</v>
      </c>
      <c r="K86" s="2"/>
      <c r="L86" s="6">
        <f t="shared" si="40"/>
        <v>11.17</v>
      </c>
      <c r="M86" s="2"/>
      <c r="N86" s="7">
        <f t="shared" si="41"/>
        <v>0</v>
      </c>
      <c r="O86" s="11"/>
      <c r="P86" s="6">
        <v>-55.2</v>
      </c>
      <c r="Q86" s="2"/>
      <c r="R86" s="7">
        <f t="shared" si="42"/>
        <v>-1.507731058985856E-5</v>
      </c>
      <c r="S86" s="2"/>
      <c r="T86" s="6"/>
      <c r="U86" s="2"/>
      <c r="V86" s="7">
        <f t="shared" si="43"/>
        <v>0</v>
      </c>
      <c r="W86" s="2"/>
      <c r="X86" s="6">
        <f t="shared" si="44"/>
        <v>-55.2</v>
      </c>
      <c r="Y86" s="2"/>
      <c r="Z86" s="7">
        <f t="shared" si="45"/>
        <v>0</v>
      </c>
    </row>
    <row r="87" spans="1:26" s="28" customFormat="1" outlineLevel="1" collapsed="1" x14ac:dyDescent="0.3">
      <c r="A87" s="27"/>
      <c r="B87" s="14" t="str">
        <f>CONCATENATE("     ","Donations                                         ")</f>
        <v xml:space="preserve">     Donations                                         </v>
      </c>
      <c r="C87" s="14"/>
      <c r="D87" s="1">
        <f>SUM(OSRRefD22_7x_0)</f>
        <v>0</v>
      </c>
      <c r="E87" s="1"/>
      <c r="F87" s="5">
        <f t="shared" ref="F87:F95" si="46">IF(D$12=0,0,D87/D$12)</f>
        <v>0</v>
      </c>
      <c r="G87" s="1"/>
      <c r="H87" s="1">
        <f>SUM(OSRRefH22_7x_0)</f>
        <v>1250</v>
      </c>
      <c r="I87" s="1"/>
      <c r="J87" s="5">
        <f t="shared" ref="J87:J95" si="47">IF(H$12=0,0,H87/H$12)</f>
        <v>3.0178001926563641E-3</v>
      </c>
      <c r="K87" s="1"/>
      <c r="L87" s="1">
        <f t="shared" ref="L87:L95" si="48">+D87-H87</f>
        <v>-1250</v>
      </c>
      <c r="M87" s="1"/>
      <c r="N87" s="5">
        <f t="shared" ref="N87:N95" si="49">IF(H87=0,0,L87/H87)</f>
        <v>-1</v>
      </c>
      <c r="O87" s="14"/>
      <c r="P87" s="1">
        <f>SUM(OSRRefP22_7x_0)</f>
        <v>2820.22</v>
      </c>
      <c r="Q87" s="1"/>
      <c r="R87" s="5">
        <f t="shared" ref="R87:R95" si="50">IF(P$12=0,0,P87/P$12)</f>
        <v>7.7031400129947292E-4</v>
      </c>
      <c r="S87" s="1"/>
      <c r="T87" s="1">
        <f>SUM(OSRRefT22_7x_0)</f>
        <v>7500</v>
      </c>
      <c r="U87" s="1"/>
      <c r="V87" s="5">
        <f t="shared" ref="V87:V95" si="51">IF(T$12=0,0,T87/T$12)</f>
        <v>1.5140271588210451E-3</v>
      </c>
      <c r="W87" s="1"/>
      <c r="X87" s="1">
        <f t="shared" ref="X87:X95" si="52">+P87-T87</f>
        <v>-4679.7800000000007</v>
      </c>
      <c r="Y87" s="1"/>
      <c r="Z87" s="5">
        <f t="shared" ref="Z87:Z95" si="53">IF(T87=0,0,X87/T87)</f>
        <v>-0.62397066666666678</v>
      </c>
    </row>
    <row r="88" spans="1:26" s="24" customFormat="1" hidden="1" outlineLevel="2" x14ac:dyDescent="0.3">
      <c r="A88" s="29"/>
      <c r="B88" s="11" t="str">
        <f>CONCATENATE("          ", "6399", " - ", "DONATION-ON CAMPUS")</f>
        <v xml:space="preserve">          6399 - DONATION-ON CAMPUS</v>
      </c>
      <c r="C88" s="11"/>
      <c r="D88" s="6"/>
      <c r="E88" s="2"/>
      <c r="F88" s="7">
        <f t="shared" si="46"/>
        <v>0</v>
      </c>
      <c r="G88" s="2"/>
      <c r="H88" s="6">
        <v>1250</v>
      </c>
      <c r="I88" s="2"/>
      <c r="J88" s="7">
        <f t="shared" si="47"/>
        <v>3.0178001926563641E-3</v>
      </c>
      <c r="K88" s="2"/>
      <c r="L88" s="6">
        <f t="shared" si="48"/>
        <v>-1250</v>
      </c>
      <c r="M88" s="2"/>
      <c r="N88" s="7">
        <f t="shared" si="49"/>
        <v>-1</v>
      </c>
      <c r="O88" s="11"/>
      <c r="P88" s="6">
        <v>2820.22</v>
      </c>
      <c r="Q88" s="2"/>
      <c r="R88" s="7">
        <f t="shared" si="50"/>
        <v>7.7031400129947292E-4</v>
      </c>
      <c r="S88" s="2"/>
      <c r="T88" s="6">
        <v>7500</v>
      </c>
      <c r="U88" s="2"/>
      <c r="V88" s="7">
        <f t="shared" si="51"/>
        <v>1.5140271588210451E-3</v>
      </c>
      <c r="W88" s="2"/>
      <c r="X88" s="6">
        <f t="shared" si="52"/>
        <v>-4679.7800000000007</v>
      </c>
      <c r="Y88" s="2"/>
      <c r="Z88" s="7">
        <f t="shared" si="53"/>
        <v>-0.62397066666666678</v>
      </c>
    </row>
    <row r="89" spans="1:26" s="28" customFormat="1" outlineLevel="1" collapsed="1" x14ac:dyDescent="0.3">
      <c r="A89" s="27"/>
      <c r="B89" s="14" t="str">
        <f>CONCATENATE("     ","Employees' Appreciation                           ")</f>
        <v xml:space="preserve">     Employees' Appreciation                           </v>
      </c>
      <c r="C89" s="14"/>
      <c r="D89" s="1">
        <f>SUM(OSRRefD22_8x_0)</f>
        <v>949.16</v>
      </c>
      <c r="E89" s="1"/>
      <c r="F89" s="5">
        <f t="shared" si="46"/>
        <v>1.9050913041240738E-3</v>
      </c>
      <c r="G89" s="1"/>
      <c r="H89" s="1">
        <f>SUM(OSRRefH22_8x_0)</f>
        <v>225</v>
      </c>
      <c r="I89" s="1"/>
      <c r="J89" s="5">
        <f t="shared" si="47"/>
        <v>5.4320403467814559E-4</v>
      </c>
      <c r="K89" s="1"/>
      <c r="L89" s="1">
        <f t="shared" si="48"/>
        <v>724.16</v>
      </c>
      <c r="M89" s="1"/>
      <c r="N89" s="5">
        <f t="shared" si="49"/>
        <v>3.218488888888889</v>
      </c>
      <c r="O89" s="14"/>
      <c r="P89" s="1">
        <f>SUM(OSRRefP22_8x_0)</f>
        <v>2823.81</v>
      </c>
      <c r="Q89" s="1"/>
      <c r="R89" s="5">
        <f t="shared" si="50"/>
        <v>7.7129457276718292E-4</v>
      </c>
      <c r="S89" s="1"/>
      <c r="T89" s="1">
        <f>SUM(OSRRefT22_8x_0)</f>
        <v>1350</v>
      </c>
      <c r="U89" s="1"/>
      <c r="V89" s="5">
        <f t="shared" si="51"/>
        <v>2.7252488858778816E-4</v>
      </c>
      <c r="W89" s="1"/>
      <c r="X89" s="1">
        <f t="shared" si="52"/>
        <v>1473.81</v>
      </c>
      <c r="Y89" s="1"/>
      <c r="Z89" s="5">
        <f t="shared" si="53"/>
        <v>1.0917111111111111</v>
      </c>
    </row>
    <row r="90" spans="1:26" s="24" customFormat="1" hidden="1" outlineLevel="2" x14ac:dyDescent="0.3">
      <c r="A90" s="29"/>
      <c r="B90" s="11" t="str">
        <f>CONCATENATE("          ", "6277", " - ", "EMPLOYEE APPRECIATION")</f>
        <v xml:space="preserve">          6277 - EMPLOYEE APPRECIATION</v>
      </c>
      <c r="C90" s="11"/>
      <c r="D90" s="6">
        <v>949.16</v>
      </c>
      <c r="E90" s="2"/>
      <c r="F90" s="7">
        <f t="shared" si="46"/>
        <v>1.9050913041240738E-3</v>
      </c>
      <c r="G90" s="2"/>
      <c r="H90" s="6">
        <v>225</v>
      </c>
      <c r="I90" s="2"/>
      <c r="J90" s="7">
        <f t="shared" si="47"/>
        <v>5.4320403467814559E-4</v>
      </c>
      <c r="K90" s="2"/>
      <c r="L90" s="6">
        <f t="shared" si="48"/>
        <v>724.16</v>
      </c>
      <c r="M90" s="2"/>
      <c r="N90" s="7">
        <f t="shared" si="49"/>
        <v>3.218488888888889</v>
      </c>
      <c r="O90" s="11"/>
      <c r="P90" s="6">
        <v>2823.81</v>
      </c>
      <c r="Q90" s="2"/>
      <c r="R90" s="7">
        <f t="shared" si="50"/>
        <v>7.7129457276718292E-4</v>
      </c>
      <c r="S90" s="2"/>
      <c r="T90" s="6">
        <v>1350</v>
      </c>
      <c r="U90" s="2"/>
      <c r="V90" s="7">
        <f t="shared" si="51"/>
        <v>2.7252488858778816E-4</v>
      </c>
      <c r="W90" s="2"/>
      <c r="X90" s="6">
        <f t="shared" si="52"/>
        <v>1473.81</v>
      </c>
      <c r="Y90" s="2"/>
      <c r="Z90" s="7">
        <f t="shared" si="53"/>
        <v>1.0917111111111111</v>
      </c>
    </row>
    <row r="91" spans="1:26" s="28" customFormat="1" outlineLevel="1" collapsed="1" x14ac:dyDescent="0.3">
      <c r="A91" s="27"/>
      <c r="B91" s="14" t="str">
        <f>CONCATENATE("     ","Equipment Rental                                  ")</f>
        <v xml:space="preserve">     Equipment Rental                                  </v>
      </c>
      <c r="C91" s="14"/>
      <c r="D91" s="1">
        <f>SUM(OSRRefD22_9x_0)</f>
        <v>1507.07</v>
      </c>
      <c r="E91" s="1"/>
      <c r="F91" s="5">
        <f t="shared" si="46"/>
        <v>3.0248914321149944E-3</v>
      </c>
      <c r="G91" s="1"/>
      <c r="H91" s="1">
        <f>SUM(OSRRefH22_9x_0)</f>
        <v>1700</v>
      </c>
      <c r="I91" s="1"/>
      <c r="J91" s="5">
        <f t="shared" si="47"/>
        <v>4.1042082620126553E-3</v>
      </c>
      <c r="K91" s="1"/>
      <c r="L91" s="1">
        <f t="shared" si="48"/>
        <v>-192.93000000000006</v>
      </c>
      <c r="M91" s="1"/>
      <c r="N91" s="5">
        <f t="shared" si="49"/>
        <v>-0.11348823529411768</v>
      </c>
      <c r="O91" s="14"/>
      <c r="P91" s="1">
        <f>SUM(OSRRefP22_9x_0)</f>
        <v>9830.52</v>
      </c>
      <c r="Q91" s="1"/>
      <c r="R91" s="5">
        <f t="shared" si="50"/>
        <v>2.6851051322430504E-3</v>
      </c>
      <c r="S91" s="1"/>
      <c r="T91" s="1">
        <f>SUM(OSRRefT22_9x_0)</f>
        <v>10000</v>
      </c>
      <c r="U91" s="1"/>
      <c r="V91" s="5">
        <f t="shared" si="51"/>
        <v>2.0187028784280601E-3</v>
      </c>
      <c r="W91" s="1"/>
      <c r="X91" s="1">
        <f t="shared" si="52"/>
        <v>-169.47999999999956</v>
      </c>
      <c r="Y91" s="1"/>
      <c r="Z91" s="5">
        <f t="shared" si="53"/>
        <v>-1.6947999999999956E-2</v>
      </c>
    </row>
    <row r="92" spans="1:26" s="24" customFormat="1" hidden="1" outlineLevel="2" x14ac:dyDescent="0.3">
      <c r="A92" s="29"/>
      <c r="B92" s="11" t="str">
        <f>CONCATENATE("          ", "6351", " - ", "EQUIPMENT RENTAL")</f>
        <v xml:space="preserve">          6351 - EQUIPMENT RENTAL</v>
      </c>
      <c r="C92" s="11"/>
      <c r="D92" s="6">
        <v>1507.07</v>
      </c>
      <c r="E92" s="2"/>
      <c r="F92" s="7">
        <f t="shared" si="46"/>
        <v>3.0248914321149944E-3</v>
      </c>
      <c r="G92" s="2"/>
      <c r="H92" s="6">
        <v>1700</v>
      </c>
      <c r="I92" s="2"/>
      <c r="J92" s="7">
        <f t="shared" si="47"/>
        <v>4.1042082620126553E-3</v>
      </c>
      <c r="K92" s="2"/>
      <c r="L92" s="6">
        <f t="shared" si="48"/>
        <v>-192.93000000000006</v>
      </c>
      <c r="M92" s="2"/>
      <c r="N92" s="7">
        <f t="shared" si="49"/>
        <v>-0.11348823529411768</v>
      </c>
      <c r="O92" s="11"/>
      <c r="P92" s="6">
        <v>9830.52</v>
      </c>
      <c r="Q92" s="2"/>
      <c r="R92" s="7">
        <f t="shared" si="50"/>
        <v>2.6851051322430504E-3</v>
      </c>
      <c r="S92" s="2"/>
      <c r="T92" s="6">
        <v>10000</v>
      </c>
      <c r="U92" s="2"/>
      <c r="V92" s="7">
        <f t="shared" si="51"/>
        <v>2.0187028784280601E-3</v>
      </c>
      <c r="W92" s="2"/>
      <c r="X92" s="6">
        <f t="shared" si="52"/>
        <v>-169.47999999999956</v>
      </c>
      <c r="Y92" s="2"/>
      <c r="Z92" s="7">
        <f t="shared" si="53"/>
        <v>-1.6947999999999956E-2</v>
      </c>
    </row>
    <row r="93" spans="1:26" s="28" customFormat="1" outlineLevel="1" collapsed="1" x14ac:dyDescent="0.3">
      <c r="A93" s="27"/>
      <c r="B93" s="14" t="str">
        <f>CONCATENATE("     ","Freight out/Postage                               ")</f>
        <v xml:space="preserve">     Freight out/Postage                               </v>
      </c>
      <c r="C93" s="14"/>
      <c r="D93" s="1">
        <f>SUM(OSRRefD22_10x_0)</f>
        <v>-2180.9800000000014</v>
      </c>
      <c r="E93" s="1"/>
      <c r="F93" s="5">
        <f t="shared" si="46"/>
        <v>-4.3775191037006677E-3</v>
      </c>
      <c r="G93" s="1"/>
      <c r="H93" s="1">
        <f>SUM(OSRRefH22_10x_0)</f>
        <v>-50</v>
      </c>
      <c r="I93" s="1"/>
      <c r="J93" s="5">
        <f t="shared" si="47"/>
        <v>-1.2071200770625457E-4</v>
      </c>
      <c r="K93" s="1"/>
      <c r="L93" s="1">
        <f t="shared" si="48"/>
        <v>-2130.9800000000014</v>
      </c>
      <c r="M93" s="1"/>
      <c r="N93" s="5">
        <f t="shared" si="49"/>
        <v>42.619600000000027</v>
      </c>
      <c r="O93" s="14"/>
      <c r="P93" s="1">
        <f>SUM(OSRRefP22_10x_0)</f>
        <v>-32167.210000000006</v>
      </c>
      <c r="Q93" s="1"/>
      <c r="R93" s="5">
        <f t="shared" si="50"/>
        <v>-8.7861415938261644E-3</v>
      </c>
      <c r="S93" s="1"/>
      <c r="T93" s="1">
        <f>SUM(OSRRefT22_10x_0)</f>
        <v>8600</v>
      </c>
      <c r="U93" s="1"/>
      <c r="V93" s="5">
        <f t="shared" si="51"/>
        <v>1.7360844754481318E-3</v>
      </c>
      <c r="W93" s="1"/>
      <c r="X93" s="1">
        <f t="shared" si="52"/>
        <v>-40767.210000000006</v>
      </c>
      <c r="Y93" s="1"/>
      <c r="Z93" s="5">
        <f t="shared" si="53"/>
        <v>-4.740373255813954</v>
      </c>
    </row>
    <row r="94" spans="1:26" s="24" customFormat="1" hidden="1" outlineLevel="2" x14ac:dyDescent="0.3">
      <c r="A94" s="29"/>
      <c r="B94" s="11" t="str">
        <f>CONCATENATE("          ", "6305", " - ", "FREIGHT OUT")</f>
        <v xml:space="preserve">          6305 - FREIGHT OUT</v>
      </c>
      <c r="C94" s="11"/>
      <c r="D94" s="6">
        <v>12270.64</v>
      </c>
      <c r="E94" s="2"/>
      <c r="F94" s="7">
        <f t="shared" si="46"/>
        <v>2.4628818702892057E-2</v>
      </c>
      <c r="G94" s="2"/>
      <c r="H94" s="6">
        <v>9550</v>
      </c>
      <c r="I94" s="2"/>
      <c r="J94" s="7">
        <f t="shared" si="47"/>
        <v>2.3055993471894624E-2</v>
      </c>
      <c r="K94" s="2"/>
      <c r="L94" s="6">
        <f t="shared" si="48"/>
        <v>2720.6399999999994</v>
      </c>
      <c r="M94" s="2"/>
      <c r="N94" s="7">
        <f t="shared" si="49"/>
        <v>0.28488376963350781</v>
      </c>
      <c r="O94" s="11"/>
      <c r="P94" s="6">
        <v>78099.259999999995</v>
      </c>
      <c r="Q94" s="2"/>
      <c r="R94" s="7">
        <f t="shared" si="50"/>
        <v>2.1332007243806465E-2</v>
      </c>
      <c r="S94" s="2"/>
      <c r="T94" s="6">
        <v>99500</v>
      </c>
      <c r="U94" s="2"/>
      <c r="V94" s="7">
        <f t="shared" si="51"/>
        <v>2.0086093640359199E-2</v>
      </c>
      <c r="W94" s="2"/>
      <c r="X94" s="6">
        <f t="shared" si="52"/>
        <v>-21400.740000000005</v>
      </c>
      <c r="Y94" s="2"/>
      <c r="Z94" s="7">
        <f t="shared" si="53"/>
        <v>-0.21508281407035182</v>
      </c>
    </row>
    <row r="95" spans="1:26" s="24" customFormat="1" hidden="1" outlineLevel="2" x14ac:dyDescent="0.3">
      <c r="A95" s="29"/>
      <c r="B95" s="11" t="str">
        <f>CONCATENATE("          ", "6307", " - ", "POSTAGE")</f>
        <v xml:space="preserve">          6307 - POSTAGE</v>
      </c>
      <c r="C95" s="11"/>
      <c r="D95" s="6">
        <v>-14451.62</v>
      </c>
      <c r="E95" s="2"/>
      <c r="F95" s="7">
        <f t="shared" si="46"/>
        <v>-2.9006337806592727E-2</v>
      </c>
      <c r="G95" s="2"/>
      <c r="H95" s="6">
        <v>-9600</v>
      </c>
      <c r="I95" s="2"/>
      <c r="J95" s="7">
        <f t="shared" si="47"/>
        <v>-2.3176705479600879E-2</v>
      </c>
      <c r="K95" s="2"/>
      <c r="L95" s="6">
        <f t="shared" si="48"/>
        <v>-4851.6200000000008</v>
      </c>
      <c r="M95" s="2"/>
      <c r="N95" s="7">
        <f t="shared" si="49"/>
        <v>0.50537708333333342</v>
      </c>
      <c r="O95" s="11"/>
      <c r="P95" s="6">
        <v>-110266.47</v>
      </c>
      <c r="Q95" s="2"/>
      <c r="R95" s="7">
        <f t="shared" si="50"/>
        <v>-3.0118148837632631E-2</v>
      </c>
      <c r="S95" s="2"/>
      <c r="T95" s="6">
        <v>-90900</v>
      </c>
      <c r="U95" s="2"/>
      <c r="V95" s="7">
        <f t="shared" si="51"/>
        <v>-1.8350009164911068E-2</v>
      </c>
      <c r="W95" s="2"/>
      <c r="X95" s="6">
        <f t="shared" si="52"/>
        <v>-19366.47</v>
      </c>
      <c r="Y95" s="2"/>
      <c r="Z95" s="7">
        <f t="shared" si="53"/>
        <v>0.21305247524752477</v>
      </c>
    </row>
    <row r="96" spans="1:26" s="28" customFormat="1" outlineLevel="1" collapsed="1" x14ac:dyDescent="0.3">
      <c r="A96" s="27"/>
      <c r="B96" s="14" t="str">
        <f>CONCATENATE("     ","General                                           ")</f>
        <v xml:space="preserve">     General                                           </v>
      </c>
      <c r="C96" s="14"/>
      <c r="D96" s="1">
        <f>SUM(OSRRefD22_11x_0)</f>
        <v>1002</v>
      </c>
      <c r="E96" s="1"/>
      <c r="F96" s="5">
        <f t="shared" ref="F96:F98" si="54">IF(D$12=0,0,D96/D$12)</f>
        <v>2.0111482644994756E-3</v>
      </c>
      <c r="G96" s="1"/>
      <c r="H96" s="1">
        <f>SUM(OSRRefH22_11x_0)</f>
        <v>2075</v>
      </c>
      <c r="I96" s="1"/>
      <c r="J96" s="5">
        <f t="shared" ref="J96:J98" si="55">IF(H$12=0,0,H96/H$12)</f>
        <v>5.0095483198095651E-3</v>
      </c>
      <c r="K96" s="1"/>
      <c r="L96" s="1">
        <f t="shared" ref="L96:L98" si="56">+D96-H96</f>
        <v>-1073</v>
      </c>
      <c r="M96" s="1"/>
      <c r="N96" s="5">
        <f t="shared" ref="N96:N98" si="57">IF(H96=0,0,L96/H96)</f>
        <v>-0.51710843373493975</v>
      </c>
      <c r="O96" s="14"/>
      <c r="P96" s="1">
        <f>SUM(OSRRefP22_11x_0)</f>
        <v>4331.1899999999996</v>
      </c>
      <c r="Q96" s="1"/>
      <c r="R96" s="5">
        <f t="shared" ref="R96:R98" si="58">IF(P$12=0,0,P96/P$12)</f>
        <v>1.183019870537853E-3</v>
      </c>
      <c r="S96" s="1"/>
      <c r="T96" s="1">
        <f>SUM(OSRRefT22_11x_0)</f>
        <v>3825</v>
      </c>
      <c r="U96" s="1"/>
      <c r="V96" s="5">
        <f t="shared" ref="V96:V98" si="59">IF(T$12=0,0,T96/T$12)</f>
        <v>7.721538509987331E-4</v>
      </c>
      <c r="W96" s="1"/>
      <c r="X96" s="1">
        <f t="shared" ref="X96:X98" si="60">+P96-T96</f>
        <v>506.1899999999996</v>
      </c>
      <c r="Y96" s="1"/>
      <c r="Z96" s="5">
        <f t="shared" ref="Z96:Z98" si="61">IF(T96=0,0,X96/T96)</f>
        <v>0.13233725490196069</v>
      </c>
    </row>
    <row r="97" spans="1:26" s="24" customFormat="1" hidden="1" outlineLevel="2" x14ac:dyDescent="0.3">
      <c r="A97" s="29"/>
      <c r="B97" s="11" t="str">
        <f>CONCATENATE("          ", "6276", " - ", "PROPERTY TAX")</f>
        <v xml:space="preserve">          6276 - PROPERTY TAX</v>
      </c>
      <c r="C97" s="11"/>
      <c r="D97" s="6"/>
      <c r="E97" s="2"/>
      <c r="F97" s="7">
        <f t="shared" si="54"/>
        <v>0</v>
      </c>
      <c r="G97" s="2"/>
      <c r="H97" s="6">
        <v>1125</v>
      </c>
      <c r="I97" s="2"/>
      <c r="J97" s="7">
        <f t="shared" si="55"/>
        <v>2.716020173390728E-3</v>
      </c>
      <c r="K97" s="2"/>
      <c r="L97" s="6">
        <f t="shared" si="56"/>
        <v>-1125</v>
      </c>
      <c r="M97" s="2"/>
      <c r="N97" s="7">
        <f t="shared" si="57"/>
        <v>-1</v>
      </c>
      <c r="O97" s="11"/>
      <c r="P97" s="6"/>
      <c r="Q97" s="2"/>
      <c r="R97" s="7">
        <f t="shared" si="58"/>
        <v>0</v>
      </c>
      <c r="S97" s="2"/>
      <c r="T97" s="6">
        <v>1250</v>
      </c>
      <c r="U97" s="2"/>
      <c r="V97" s="7">
        <f t="shared" si="59"/>
        <v>2.5233785980350752E-4</v>
      </c>
      <c r="W97" s="2"/>
      <c r="X97" s="6">
        <f t="shared" si="60"/>
        <v>-1250</v>
      </c>
      <c r="Y97" s="2"/>
      <c r="Z97" s="7">
        <f t="shared" si="61"/>
        <v>-1</v>
      </c>
    </row>
    <row r="98" spans="1:26" s="24" customFormat="1" hidden="1" outlineLevel="2" x14ac:dyDescent="0.3">
      <c r="A98" s="29"/>
      <c r="B98" s="11" t="str">
        <f>CONCATENATE("          ", "6279", " - ", "GENERAL EXPENSE")</f>
        <v xml:space="preserve">          6279 - GENERAL EXPENSE</v>
      </c>
      <c r="C98" s="11"/>
      <c r="D98" s="6">
        <v>1002</v>
      </c>
      <c r="E98" s="2"/>
      <c r="F98" s="7">
        <f t="shared" si="54"/>
        <v>2.0111482644994756E-3</v>
      </c>
      <c r="G98" s="2"/>
      <c r="H98" s="6">
        <v>950</v>
      </c>
      <c r="I98" s="2"/>
      <c r="J98" s="7">
        <f t="shared" si="55"/>
        <v>2.2935281464188367E-3</v>
      </c>
      <c r="K98" s="2"/>
      <c r="L98" s="6">
        <f t="shared" si="56"/>
        <v>52</v>
      </c>
      <c r="M98" s="2"/>
      <c r="N98" s="7">
        <f t="shared" si="57"/>
        <v>5.473684210526316E-2</v>
      </c>
      <c r="O98" s="11"/>
      <c r="P98" s="6">
        <v>4331.1899999999996</v>
      </c>
      <c r="Q98" s="2"/>
      <c r="R98" s="7">
        <f t="shared" si="58"/>
        <v>1.183019870537853E-3</v>
      </c>
      <c r="S98" s="2"/>
      <c r="T98" s="6">
        <v>2575</v>
      </c>
      <c r="U98" s="2"/>
      <c r="V98" s="7">
        <f t="shared" si="59"/>
        <v>5.1981599119522548E-4</v>
      </c>
      <c r="W98" s="2"/>
      <c r="X98" s="6">
        <f t="shared" si="60"/>
        <v>1756.1899999999996</v>
      </c>
      <c r="Y98" s="2"/>
      <c r="Z98" s="7">
        <f t="shared" si="61"/>
        <v>0.68201553398058234</v>
      </c>
    </row>
    <row r="99" spans="1:26" s="28" customFormat="1" outlineLevel="1" collapsed="1" x14ac:dyDescent="0.3">
      <c r="A99" s="27"/>
      <c r="B99" s="14" t="str">
        <f>CONCATENATE("     ","Insurance                                         ")</f>
        <v xml:space="preserve">     Insurance                                         </v>
      </c>
      <c r="C99" s="14"/>
      <c r="D99" s="1">
        <f>SUM(OSRRefD22_12x_0)</f>
        <v>5494.57</v>
      </c>
      <c r="E99" s="1"/>
      <c r="F99" s="5">
        <f t="shared" ref="F99:F111" si="62">IF(D$12=0,0,D99/D$12)</f>
        <v>1.1028338243184513E-2</v>
      </c>
      <c r="G99" s="1"/>
      <c r="H99" s="1">
        <f>SUM(OSRRefH22_12x_0)</f>
        <v>5375</v>
      </c>
      <c r="I99" s="1"/>
      <c r="J99" s="5">
        <f t="shared" ref="J99:J111" si="63">IF(H$12=0,0,H99/H$12)</f>
        <v>1.2976540828422367E-2</v>
      </c>
      <c r="K99" s="1"/>
      <c r="L99" s="1">
        <f t="shared" ref="L99:L111" si="64">+D99-H99</f>
        <v>119.56999999999971</v>
      </c>
      <c r="M99" s="1"/>
      <c r="N99" s="5">
        <f t="shared" ref="N99:N111" si="65">IF(H99=0,0,L99/H99)</f>
        <v>2.2245581395348782E-2</v>
      </c>
      <c r="O99" s="14"/>
      <c r="P99" s="1">
        <f>SUM(OSRRefP22_12x_0)</f>
        <v>32967.42</v>
      </c>
      <c r="Q99" s="1"/>
      <c r="R99" s="5">
        <f t="shared" ref="R99:R111" si="66">IF(P$12=0,0,P99/P$12)</f>
        <v>9.0047107008390369E-3</v>
      </c>
      <c r="S99" s="1"/>
      <c r="T99" s="1">
        <f>SUM(OSRRefT22_12x_0)</f>
        <v>32250</v>
      </c>
      <c r="U99" s="1"/>
      <c r="V99" s="5">
        <f t="shared" ref="V99:V111" si="67">IF(T$12=0,0,T99/T$12)</f>
        <v>6.5103167829304942E-3</v>
      </c>
      <c r="W99" s="1"/>
      <c r="X99" s="1">
        <f t="shared" ref="X99:X111" si="68">+P99-T99</f>
        <v>717.41999999999825</v>
      </c>
      <c r="Y99" s="1"/>
      <c r="Z99" s="5">
        <f t="shared" ref="Z99:Z111" si="69">IF(T99=0,0,X99/T99)</f>
        <v>2.2245581395348782E-2</v>
      </c>
    </row>
    <row r="100" spans="1:26" s="24" customFormat="1" hidden="1" outlineLevel="2" x14ac:dyDescent="0.3">
      <c r="A100" s="29"/>
      <c r="B100" s="11" t="str">
        <f>CONCATENATE("          ", "6314", " - ", "LIABILITY INSURANCE")</f>
        <v xml:space="preserve">          6314 - LIABILITY INSURANCE</v>
      </c>
      <c r="C100" s="11"/>
      <c r="D100" s="6">
        <v>5494.57</v>
      </c>
      <c r="E100" s="2"/>
      <c r="F100" s="7">
        <f t="shared" si="62"/>
        <v>1.1028338243184513E-2</v>
      </c>
      <c r="G100" s="2"/>
      <c r="H100" s="6">
        <v>5375</v>
      </c>
      <c r="I100" s="2"/>
      <c r="J100" s="7">
        <f t="shared" si="63"/>
        <v>1.2976540828422367E-2</v>
      </c>
      <c r="K100" s="2"/>
      <c r="L100" s="6">
        <f t="shared" si="64"/>
        <v>119.56999999999971</v>
      </c>
      <c r="M100" s="2"/>
      <c r="N100" s="7">
        <f t="shared" si="65"/>
        <v>2.2245581395348782E-2</v>
      </c>
      <c r="O100" s="11"/>
      <c r="P100" s="6">
        <v>32967.42</v>
      </c>
      <c r="Q100" s="2"/>
      <c r="R100" s="7">
        <f t="shared" si="66"/>
        <v>9.0047107008390369E-3</v>
      </c>
      <c r="S100" s="2"/>
      <c r="T100" s="6">
        <v>32250</v>
      </c>
      <c r="U100" s="2"/>
      <c r="V100" s="7">
        <f t="shared" si="67"/>
        <v>6.5103167829304942E-3</v>
      </c>
      <c r="W100" s="2"/>
      <c r="X100" s="6">
        <f t="shared" si="68"/>
        <v>717.41999999999825</v>
      </c>
      <c r="Y100" s="2"/>
      <c r="Z100" s="7">
        <f t="shared" si="69"/>
        <v>2.2245581395348782E-2</v>
      </c>
    </row>
    <row r="101" spans="1:26" s="28" customFormat="1" outlineLevel="1" collapsed="1" x14ac:dyDescent="0.3">
      <c r="A101" s="27"/>
      <c r="B101" s="14" t="str">
        <f>CONCATENATE("     ","Inventory Adjustment                              ")</f>
        <v xml:space="preserve">     Inventory Adjustment                              </v>
      </c>
      <c r="C101" s="14"/>
      <c r="D101" s="1">
        <f>SUM(OSRRefD22_13x_0)</f>
        <v>9100</v>
      </c>
      <c r="E101" s="1"/>
      <c r="F101" s="5">
        <f t="shared" si="62"/>
        <v>1.8264919368208808E-2</v>
      </c>
      <c r="G101" s="1"/>
      <c r="H101" s="1">
        <f>SUM(OSRRefH22_13x_0)</f>
        <v>9100</v>
      </c>
      <c r="I101" s="1"/>
      <c r="J101" s="5">
        <f t="shared" si="63"/>
        <v>2.1969585402538332E-2</v>
      </c>
      <c r="K101" s="1"/>
      <c r="L101" s="1">
        <f t="shared" si="64"/>
        <v>0</v>
      </c>
      <c r="M101" s="1"/>
      <c r="N101" s="5">
        <f t="shared" si="65"/>
        <v>0</v>
      </c>
      <c r="O101" s="14"/>
      <c r="P101" s="1">
        <f>SUM(OSRRefP22_13x_0)</f>
        <v>34600</v>
      </c>
      <c r="Q101" s="1"/>
      <c r="R101" s="5">
        <f t="shared" si="66"/>
        <v>9.4506330871214888E-3</v>
      </c>
      <c r="S101" s="1"/>
      <c r="T101" s="1">
        <f>SUM(OSRRefT22_13x_0)</f>
        <v>34600</v>
      </c>
      <c r="U101" s="1"/>
      <c r="V101" s="5">
        <f t="shared" si="67"/>
        <v>6.9847119593610882E-3</v>
      </c>
      <c r="W101" s="1"/>
      <c r="X101" s="1">
        <f t="shared" si="68"/>
        <v>0</v>
      </c>
      <c r="Y101" s="1"/>
      <c r="Z101" s="5">
        <f t="shared" si="69"/>
        <v>0</v>
      </c>
    </row>
    <row r="102" spans="1:26" s="24" customFormat="1" hidden="1" outlineLevel="2" x14ac:dyDescent="0.3">
      <c r="A102" s="29"/>
      <c r="B102" s="11" t="str">
        <f>CONCATENATE("          ", "6408", " - ", "INVENTORY ADJUSTMENT")</f>
        <v xml:space="preserve">          6408 - INVENTORY ADJUSTMENT</v>
      </c>
      <c r="C102" s="11"/>
      <c r="D102" s="6">
        <v>9100</v>
      </c>
      <c r="E102" s="2"/>
      <c r="F102" s="7">
        <f t="shared" si="62"/>
        <v>1.8264919368208808E-2</v>
      </c>
      <c r="G102" s="2"/>
      <c r="H102" s="6">
        <v>9100</v>
      </c>
      <c r="I102" s="2"/>
      <c r="J102" s="7">
        <f t="shared" si="63"/>
        <v>2.1969585402538332E-2</v>
      </c>
      <c r="K102" s="2"/>
      <c r="L102" s="6">
        <f t="shared" si="64"/>
        <v>0</v>
      </c>
      <c r="M102" s="2"/>
      <c r="N102" s="7">
        <f t="shared" si="65"/>
        <v>0</v>
      </c>
      <c r="O102" s="11"/>
      <c r="P102" s="6">
        <v>34600</v>
      </c>
      <c r="Q102" s="2"/>
      <c r="R102" s="7">
        <f t="shared" si="66"/>
        <v>9.4506330871214888E-3</v>
      </c>
      <c r="S102" s="2"/>
      <c r="T102" s="6">
        <v>34600</v>
      </c>
      <c r="U102" s="2"/>
      <c r="V102" s="7">
        <f t="shared" si="67"/>
        <v>6.9847119593610882E-3</v>
      </c>
      <c r="W102" s="2"/>
      <c r="X102" s="6">
        <f t="shared" si="68"/>
        <v>0</v>
      </c>
      <c r="Y102" s="2"/>
      <c r="Z102" s="7">
        <f t="shared" si="69"/>
        <v>0</v>
      </c>
    </row>
    <row r="103" spans="1:26" s="28" customFormat="1" outlineLevel="1" collapsed="1" x14ac:dyDescent="0.3">
      <c r="A103" s="27"/>
      <c r="B103" s="14" t="str">
        <f>CONCATENATE("     ","Professional Services                             ")</f>
        <v xml:space="preserve">     Professional Services                             </v>
      </c>
      <c r="C103" s="14"/>
      <c r="D103" s="1">
        <f>SUM(OSRRefD22_14x_0)</f>
        <v>0</v>
      </c>
      <c r="E103" s="1"/>
      <c r="F103" s="5">
        <f t="shared" si="62"/>
        <v>0</v>
      </c>
      <c r="G103" s="1"/>
      <c r="H103" s="1">
        <f>SUM(OSRRefH22_14x_0)</f>
        <v>0</v>
      </c>
      <c r="I103" s="1"/>
      <c r="J103" s="5">
        <f t="shared" si="63"/>
        <v>0</v>
      </c>
      <c r="K103" s="1"/>
      <c r="L103" s="1">
        <f t="shared" si="64"/>
        <v>0</v>
      </c>
      <c r="M103" s="1"/>
      <c r="N103" s="5">
        <f t="shared" si="65"/>
        <v>0</v>
      </c>
      <c r="O103" s="14"/>
      <c r="P103" s="1">
        <f>SUM(OSRRefP22_14x_0)</f>
        <v>8186.53</v>
      </c>
      <c r="Q103" s="1"/>
      <c r="R103" s="5">
        <f t="shared" si="66"/>
        <v>2.2360662221593258E-3</v>
      </c>
      <c r="S103" s="1"/>
      <c r="T103" s="1">
        <f>SUM(OSRRefT22_14x_0)</f>
        <v>1250</v>
      </c>
      <c r="U103" s="1"/>
      <c r="V103" s="5">
        <f t="shared" si="67"/>
        <v>2.5233785980350752E-4</v>
      </c>
      <c r="W103" s="1"/>
      <c r="X103" s="1">
        <f t="shared" si="68"/>
        <v>6936.53</v>
      </c>
      <c r="Y103" s="1"/>
      <c r="Z103" s="5">
        <f t="shared" si="69"/>
        <v>5.5492239999999997</v>
      </c>
    </row>
    <row r="104" spans="1:26" s="24" customFormat="1" hidden="1" outlineLevel="2" x14ac:dyDescent="0.3">
      <c r="A104" s="29"/>
      <c r="B104" s="11" t="str">
        <f>CONCATENATE("          ", "6336", " - ", "PROFESSIONAL SERVICES")</f>
        <v xml:space="preserve">          6336 - PROFESSIONAL SERVICES</v>
      </c>
      <c r="C104" s="11"/>
      <c r="D104" s="6"/>
      <c r="E104" s="2"/>
      <c r="F104" s="7">
        <f t="shared" si="62"/>
        <v>0</v>
      </c>
      <c r="G104" s="2"/>
      <c r="H104" s="6">
        <v>0</v>
      </c>
      <c r="I104" s="2"/>
      <c r="J104" s="7">
        <f t="shared" si="63"/>
        <v>0</v>
      </c>
      <c r="K104" s="2"/>
      <c r="L104" s="6">
        <f t="shared" si="64"/>
        <v>0</v>
      </c>
      <c r="M104" s="2"/>
      <c r="N104" s="7">
        <f t="shared" si="65"/>
        <v>0</v>
      </c>
      <c r="O104" s="11"/>
      <c r="P104" s="6">
        <v>8186.53</v>
      </c>
      <c r="Q104" s="2"/>
      <c r="R104" s="7">
        <f t="shared" si="66"/>
        <v>2.2360662221593258E-3</v>
      </c>
      <c r="S104" s="2"/>
      <c r="T104" s="6">
        <v>1250</v>
      </c>
      <c r="U104" s="2"/>
      <c r="V104" s="7">
        <f t="shared" si="67"/>
        <v>2.5233785980350752E-4</v>
      </c>
      <c r="W104" s="2"/>
      <c r="X104" s="6">
        <f t="shared" si="68"/>
        <v>6936.53</v>
      </c>
      <c r="Y104" s="2"/>
      <c r="Z104" s="7">
        <f t="shared" si="69"/>
        <v>5.5492239999999997</v>
      </c>
    </row>
    <row r="105" spans="1:26" s="28" customFormat="1" outlineLevel="1" collapsed="1" x14ac:dyDescent="0.3">
      <c r="A105" s="27"/>
      <c r="B105" s="14" t="str">
        <f>CONCATENATE("     ","Rent                                              ")</f>
        <v xml:space="preserve">     Rent                                              </v>
      </c>
      <c r="C105" s="14"/>
      <c r="D105" s="1">
        <f>SUM(OSRRefD22_15x_0)</f>
        <v>6100</v>
      </c>
      <c r="E105" s="1"/>
      <c r="F105" s="5">
        <f t="shared" si="62"/>
        <v>1.2243517378689421E-2</v>
      </c>
      <c r="G105" s="1"/>
      <c r="H105" s="1">
        <f>SUM(OSRRefH22_15x_0)</f>
        <v>6100</v>
      </c>
      <c r="I105" s="1"/>
      <c r="J105" s="5">
        <f t="shared" si="63"/>
        <v>1.4726864940163058E-2</v>
      </c>
      <c r="K105" s="1"/>
      <c r="L105" s="1">
        <f t="shared" si="64"/>
        <v>0</v>
      </c>
      <c r="M105" s="1"/>
      <c r="N105" s="5">
        <f t="shared" si="65"/>
        <v>0</v>
      </c>
      <c r="O105" s="14"/>
      <c r="P105" s="1">
        <f>SUM(OSRRefP22_15x_0)</f>
        <v>36600</v>
      </c>
      <c r="Q105" s="1"/>
      <c r="R105" s="5">
        <f t="shared" si="66"/>
        <v>9.996912456319262E-3</v>
      </c>
      <c r="S105" s="1"/>
      <c r="T105" s="1">
        <f>SUM(OSRRefT22_15x_0)</f>
        <v>36600</v>
      </c>
      <c r="U105" s="1"/>
      <c r="V105" s="5">
        <f t="shared" si="67"/>
        <v>7.3884525350467007E-3</v>
      </c>
      <c r="W105" s="1"/>
      <c r="X105" s="1">
        <f t="shared" si="68"/>
        <v>0</v>
      </c>
      <c r="Y105" s="1"/>
      <c r="Z105" s="5">
        <f t="shared" si="69"/>
        <v>0</v>
      </c>
    </row>
    <row r="106" spans="1:26" s="24" customFormat="1" hidden="1" outlineLevel="2" x14ac:dyDescent="0.3">
      <c r="A106" s="29"/>
      <c r="B106" s="11" t="str">
        <f>CONCATENATE("          ", "6273", " - ", "RENT")</f>
        <v xml:space="preserve">          6273 - RENT</v>
      </c>
      <c r="C106" s="11"/>
      <c r="D106" s="6">
        <v>6100</v>
      </c>
      <c r="E106" s="2"/>
      <c r="F106" s="7">
        <f t="shared" si="62"/>
        <v>1.2243517378689421E-2</v>
      </c>
      <c r="G106" s="2"/>
      <c r="H106" s="6">
        <v>6100</v>
      </c>
      <c r="I106" s="2"/>
      <c r="J106" s="7">
        <f t="shared" si="63"/>
        <v>1.4726864940163058E-2</v>
      </c>
      <c r="K106" s="2"/>
      <c r="L106" s="6">
        <f t="shared" si="64"/>
        <v>0</v>
      </c>
      <c r="M106" s="2"/>
      <c r="N106" s="7">
        <f t="shared" si="65"/>
        <v>0</v>
      </c>
      <c r="O106" s="11"/>
      <c r="P106" s="6">
        <v>36600</v>
      </c>
      <c r="Q106" s="2"/>
      <c r="R106" s="7">
        <f t="shared" si="66"/>
        <v>9.996912456319262E-3</v>
      </c>
      <c r="S106" s="2"/>
      <c r="T106" s="6">
        <v>36600</v>
      </c>
      <c r="U106" s="2"/>
      <c r="V106" s="7">
        <f t="shared" si="67"/>
        <v>7.3884525350467007E-3</v>
      </c>
      <c r="W106" s="2"/>
      <c r="X106" s="6">
        <f t="shared" si="68"/>
        <v>0</v>
      </c>
      <c r="Y106" s="2"/>
      <c r="Z106" s="7">
        <f t="shared" si="69"/>
        <v>0</v>
      </c>
    </row>
    <row r="107" spans="1:26" s="28" customFormat="1" outlineLevel="1" collapsed="1" x14ac:dyDescent="0.3">
      <c r="A107" s="27"/>
      <c r="B107" s="14" t="str">
        <f>CONCATENATE("     ","Repair and Maintenance                            ")</f>
        <v xml:space="preserve">     Repair and Maintenance                            </v>
      </c>
      <c r="C107" s="14"/>
      <c r="D107" s="1">
        <f>SUM(OSRRefD22_16x_0)</f>
        <v>7012.15</v>
      </c>
      <c r="E107" s="1"/>
      <c r="F107" s="5">
        <f t="shared" si="62"/>
        <v>1.4074324653602791E-2</v>
      </c>
      <c r="G107" s="1"/>
      <c r="H107" s="1">
        <f>SUM(OSRRefH22_16x_0)</f>
        <v>5645</v>
      </c>
      <c r="I107" s="1"/>
      <c r="J107" s="5">
        <f t="shared" si="63"/>
        <v>1.3628385670036141E-2</v>
      </c>
      <c r="K107" s="1"/>
      <c r="L107" s="1">
        <f t="shared" si="64"/>
        <v>1367.1499999999996</v>
      </c>
      <c r="M107" s="1"/>
      <c r="N107" s="5">
        <f t="shared" si="65"/>
        <v>0.24218777679362261</v>
      </c>
      <c r="O107" s="14"/>
      <c r="P107" s="1">
        <f>SUM(OSRRefP22_16x_0)</f>
        <v>97807.62</v>
      </c>
      <c r="Q107" s="1"/>
      <c r="R107" s="5">
        <f t="shared" si="66"/>
        <v>2.6715142478167787E-2</v>
      </c>
      <c r="S107" s="1"/>
      <c r="T107" s="1">
        <f>SUM(OSRRefT22_16x_0)</f>
        <v>94590</v>
      </c>
      <c r="U107" s="1"/>
      <c r="V107" s="5">
        <f t="shared" si="67"/>
        <v>1.9094910527051024E-2</v>
      </c>
      <c r="W107" s="1"/>
      <c r="X107" s="1">
        <f t="shared" si="68"/>
        <v>3217.6199999999953</v>
      </c>
      <c r="Y107" s="1"/>
      <c r="Z107" s="5">
        <f t="shared" si="69"/>
        <v>3.4016492229622532E-2</v>
      </c>
    </row>
    <row r="108" spans="1:26" s="24" customFormat="1" hidden="1" outlineLevel="2" x14ac:dyDescent="0.3">
      <c r="A108" s="29"/>
      <c r="B108" s="11" t="str">
        <f>CONCATENATE("          ", "6371", " - ", "COMPUTER SOFTWARE MAINTENANCE")</f>
        <v xml:space="preserve">          6371 - COMPUTER SOFTWARE MAINTENANCE</v>
      </c>
      <c r="C108" s="11"/>
      <c r="D108" s="6"/>
      <c r="E108" s="2"/>
      <c r="F108" s="7">
        <f t="shared" si="62"/>
        <v>0</v>
      </c>
      <c r="G108" s="2"/>
      <c r="H108" s="6">
        <v>1000</v>
      </c>
      <c r="I108" s="2"/>
      <c r="J108" s="7">
        <f t="shared" si="63"/>
        <v>2.4142401541250914E-3</v>
      </c>
      <c r="K108" s="2"/>
      <c r="L108" s="6">
        <f t="shared" si="64"/>
        <v>-1000</v>
      </c>
      <c r="M108" s="2"/>
      <c r="N108" s="7">
        <f t="shared" si="65"/>
        <v>-1</v>
      </c>
      <c r="O108" s="11"/>
      <c r="P108" s="6">
        <v>62511</v>
      </c>
      <c r="Q108" s="2"/>
      <c r="R108" s="7">
        <f t="shared" si="66"/>
        <v>1.7074234823961022E-2</v>
      </c>
      <c r="S108" s="2"/>
      <c r="T108" s="6">
        <v>45100</v>
      </c>
      <c r="U108" s="2"/>
      <c r="V108" s="7">
        <f t="shared" si="67"/>
        <v>9.1043499817105526E-3</v>
      </c>
      <c r="W108" s="2"/>
      <c r="X108" s="6">
        <f t="shared" si="68"/>
        <v>17411</v>
      </c>
      <c r="Y108" s="2"/>
      <c r="Z108" s="7">
        <f t="shared" si="69"/>
        <v>0.38605321507760532</v>
      </c>
    </row>
    <row r="109" spans="1:26" s="24" customFormat="1" hidden="1" outlineLevel="2" x14ac:dyDescent="0.3">
      <c r="A109" s="29"/>
      <c r="B109" s="11" t="str">
        <f>CONCATENATE("          ", "6372", " - ", "COMPUTER HARDWARE MAINTENANCE")</f>
        <v xml:space="preserve">          6372 - COMPUTER HARDWARE MAINTENANCE</v>
      </c>
      <c r="C109" s="11"/>
      <c r="D109" s="6"/>
      <c r="E109" s="2"/>
      <c r="F109" s="7">
        <f t="shared" si="62"/>
        <v>0</v>
      </c>
      <c r="G109" s="2"/>
      <c r="H109" s="6">
        <v>3750</v>
      </c>
      <c r="I109" s="2"/>
      <c r="J109" s="7">
        <f t="shared" si="63"/>
        <v>9.0534005779690924E-3</v>
      </c>
      <c r="K109" s="2"/>
      <c r="L109" s="6">
        <f t="shared" si="64"/>
        <v>-3750</v>
      </c>
      <c r="M109" s="2"/>
      <c r="N109" s="7">
        <f t="shared" si="65"/>
        <v>-1</v>
      </c>
      <c r="O109" s="11"/>
      <c r="P109" s="6"/>
      <c r="Q109" s="2"/>
      <c r="R109" s="7">
        <f t="shared" si="66"/>
        <v>0</v>
      </c>
      <c r="S109" s="2"/>
      <c r="T109" s="6">
        <v>19120</v>
      </c>
      <c r="U109" s="2"/>
      <c r="V109" s="7">
        <f t="shared" si="67"/>
        <v>3.8597599035544512E-3</v>
      </c>
      <c r="W109" s="2"/>
      <c r="X109" s="6">
        <f t="shared" si="68"/>
        <v>-19120</v>
      </c>
      <c r="Y109" s="2"/>
      <c r="Z109" s="7">
        <f t="shared" si="69"/>
        <v>-1</v>
      </c>
    </row>
    <row r="110" spans="1:26" s="24" customFormat="1" hidden="1" outlineLevel="2" x14ac:dyDescent="0.3">
      <c r="A110" s="29"/>
      <c r="B110" s="11" t="str">
        <f>CONCATENATE("          ", "6373", " - ", "MAINTENANCE CONTRACTS")</f>
        <v xml:space="preserve">          6373 - MAINTENANCE CONTRACTS</v>
      </c>
      <c r="C110" s="11"/>
      <c r="D110" s="6">
        <v>2237.17</v>
      </c>
      <c r="E110" s="2"/>
      <c r="F110" s="7">
        <f t="shared" si="62"/>
        <v>4.4902999629643633E-3</v>
      </c>
      <c r="G110" s="2"/>
      <c r="H110" s="6">
        <v>855</v>
      </c>
      <c r="I110" s="2"/>
      <c r="J110" s="7">
        <f t="shared" si="63"/>
        <v>2.0641753317769533E-3</v>
      </c>
      <c r="K110" s="2"/>
      <c r="L110" s="6">
        <f t="shared" si="64"/>
        <v>1382.17</v>
      </c>
      <c r="M110" s="2"/>
      <c r="N110" s="7">
        <f t="shared" si="65"/>
        <v>1.6165730994152048</v>
      </c>
      <c r="O110" s="11"/>
      <c r="P110" s="6">
        <v>14483.17</v>
      </c>
      <c r="Q110" s="2"/>
      <c r="R110" s="7">
        <f t="shared" si="66"/>
        <v>3.9559284857920611E-3</v>
      </c>
      <c r="S110" s="2"/>
      <c r="T110" s="6">
        <v>30130</v>
      </c>
      <c r="U110" s="2"/>
      <c r="V110" s="7">
        <f t="shared" si="67"/>
        <v>6.0823517727037453E-3</v>
      </c>
      <c r="W110" s="2"/>
      <c r="X110" s="6">
        <f t="shared" si="68"/>
        <v>-15646.83</v>
      </c>
      <c r="Y110" s="2"/>
      <c r="Z110" s="7">
        <f t="shared" si="69"/>
        <v>-0.51931065383338859</v>
      </c>
    </row>
    <row r="111" spans="1:26" s="24" customFormat="1" hidden="1" outlineLevel="2" x14ac:dyDescent="0.3">
      <c r="A111" s="29"/>
      <c r="B111" s="11" t="str">
        <f>CONCATENATE("          ", "6375", " - ", "OUTSIDE REPAIRS &amp; MAINTENANCE")</f>
        <v xml:space="preserve">          6375 - OUTSIDE REPAIRS &amp; MAINTENANCE</v>
      </c>
      <c r="C111" s="11"/>
      <c r="D111" s="6">
        <v>4774.9799999999996</v>
      </c>
      <c r="E111" s="2"/>
      <c r="F111" s="7">
        <f t="shared" si="62"/>
        <v>9.5840246906384267E-3</v>
      </c>
      <c r="G111" s="2"/>
      <c r="H111" s="6">
        <v>40</v>
      </c>
      <c r="I111" s="2"/>
      <c r="J111" s="7">
        <f t="shared" si="63"/>
        <v>9.6569606165003652E-5</v>
      </c>
      <c r="K111" s="2"/>
      <c r="L111" s="6">
        <f t="shared" si="64"/>
        <v>4734.9799999999996</v>
      </c>
      <c r="M111" s="2"/>
      <c r="N111" s="7">
        <f t="shared" si="65"/>
        <v>118.37449999999998</v>
      </c>
      <c r="O111" s="11"/>
      <c r="P111" s="6">
        <v>20813.45</v>
      </c>
      <c r="Q111" s="2"/>
      <c r="R111" s="7">
        <f t="shared" si="66"/>
        <v>5.6849791684147038E-3</v>
      </c>
      <c r="S111" s="2"/>
      <c r="T111" s="6">
        <v>240</v>
      </c>
      <c r="U111" s="2"/>
      <c r="V111" s="7">
        <f t="shared" si="67"/>
        <v>4.8448869082273447E-5</v>
      </c>
      <c r="W111" s="2"/>
      <c r="X111" s="6">
        <f t="shared" si="68"/>
        <v>20573.45</v>
      </c>
      <c r="Y111" s="2"/>
      <c r="Z111" s="7">
        <f t="shared" si="69"/>
        <v>85.72270833333333</v>
      </c>
    </row>
    <row r="112" spans="1:26" s="28" customFormat="1" outlineLevel="1" collapsed="1" x14ac:dyDescent="0.3">
      <c r="A112" s="27"/>
      <c r="B112" s="14" t="str">
        <f>CONCATENATE("     ","Royalty &amp; Commissions                             ")</f>
        <v xml:space="preserve">     Royalty &amp; Commissions                             </v>
      </c>
      <c r="C112" s="14"/>
      <c r="D112" s="1">
        <f>SUM(OSRRefD22_17x_0)</f>
        <v>1121.23</v>
      </c>
      <c r="E112" s="1"/>
      <c r="F112" s="5">
        <f t="shared" ref="F112:F116" si="70">IF(D$12=0,0,D112/D$12)</f>
        <v>2.2504588509029409E-3</v>
      </c>
      <c r="G112" s="1"/>
      <c r="H112" s="1">
        <f>SUM(OSRRefH22_17x_0)</f>
        <v>4906</v>
      </c>
      <c r="I112" s="1"/>
      <c r="J112" s="5">
        <f t="shared" ref="J112:J116" si="71">IF(H$12=0,0,H112/H$12)</f>
        <v>1.1844262196137699E-2</v>
      </c>
      <c r="K112" s="1"/>
      <c r="L112" s="1">
        <f t="shared" ref="L112:L116" si="72">+D112-H112</f>
        <v>-3784.77</v>
      </c>
      <c r="M112" s="1"/>
      <c r="N112" s="5">
        <f t="shared" ref="N112:N116" si="73">IF(H112=0,0,L112/H112)</f>
        <v>-0.77145739910313904</v>
      </c>
      <c r="O112" s="14"/>
      <c r="P112" s="1">
        <f>SUM(OSRRefP22_17x_0)</f>
        <v>21746.93</v>
      </c>
      <c r="Q112" s="1"/>
      <c r="R112" s="5">
        <f t="shared" ref="R112:R116" si="74">IF(P$12=0,0,P112/P$12)</f>
        <v>5.9399496011940727E-3</v>
      </c>
      <c r="S112" s="1"/>
      <c r="T112" s="1">
        <f>SUM(OSRRefT22_17x_0)</f>
        <v>45092</v>
      </c>
      <c r="U112" s="1"/>
      <c r="V112" s="5">
        <f t="shared" ref="V112:V116" si="75">IF(T$12=0,0,T112/T$12)</f>
        <v>9.1027350194078094E-3</v>
      </c>
      <c r="W112" s="1"/>
      <c r="X112" s="1">
        <f t="shared" ref="X112:X116" si="76">+P112-T112</f>
        <v>-23345.07</v>
      </c>
      <c r="Y112" s="1"/>
      <c r="Z112" s="5">
        <f t="shared" ref="Z112:Z116" si="77">IF(T112=0,0,X112/T112)</f>
        <v>-0.5177208817528608</v>
      </c>
    </row>
    <row r="113" spans="1:26" s="24" customFormat="1" hidden="1" outlineLevel="2" x14ac:dyDescent="0.3">
      <c r="A113" s="29"/>
      <c r="B113" s="11" t="str">
        <f>CONCATENATE("          ", "6252", " - ", "ROYALTY DUE CSTV")</f>
        <v xml:space="preserve">          6252 - ROYALTY DUE CSTV</v>
      </c>
      <c r="C113" s="11"/>
      <c r="D113" s="6"/>
      <c r="E113" s="2"/>
      <c r="F113" s="7">
        <f t="shared" si="70"/>
        <v>0</v>
      </c>
      <c r="G113" s="2"/>
      <c r="H113" s="6">
        <v>1906</v>
      </c>
      <c r="I113" s="2"/>
      <c r="J113" s="7">
        <f t="shared" si="71"/>
        <v>4.6015417337624239E-3</v>
      </c>
      <c r="K113" s="2"/>
      <c r="L113" s="6">
        <f t="shared" si="72"/>
        <v>-1906</v>
      </c>
      <c r="M113" s="2"/>
      <c r="N113" s="7">
        <f t="shared" si="73"/>
        <v>-1</v>
      </c>
      <c r="O113" s="11"/>
      <c r="P113" s="6"/>
      <c r="Q113" s="2"/>
      <c r="R113" s="7">
        <f t="shared" si="74"/>
        <v>0</v>
      </c>
      <c r="S113" s="2"/>
      <c r="T113" s="6">
        <v>10230</v>
      </c>
      <c r="U113" s="2"/>
      <c r="V113" s="7">
        <f t="shared" si="75"/>
        <v>2.0651330446319056E-3</v>
      </c>
      <c r="W113" s="2"/>
      <c r="X113" s="6">
        <f t="shared" si="76"/>
        <v>-10230</v>
      </c>
      <c r="Y113" s="2"/>
      <c r="Z113" s="7">
        <f t="shared" si="77"/>
        <v>-1</v>
      </c>
    </row>
    <row r="114" spans="1:26" s="24" customFormat="1" hidden="1" outlineLevel="2" x14ac:dyDescent="0.3">
      <c r="A114" s="29"/>
      <c r="B114" s="11" t="str">
        <f>CONCATENATE("          ", "6253", " - ", "ROYALTY DUE ATHLETICS-LRG")</f>
        <v xml:space="preserve">          6253 - ROYALTY DUE ATHLETICS-LRG</v>
      </c>
      <c r="C114" s="11"/>
      <c r="D114" s="6"/>
      <c r="E114" s="2"/>
      <c r="F114" s="7">
        <f t="shared" si="70"/>
        <v>0</v>
      </c>
      <c r="G114" s="2"/>
      <c r="H114" s="6">
        <v>0</v>
      </c>
      <c r="I114" s="2"/>
      <c r="J114" s="7">
        <f t="shared" si="71"/>
        <v>0</v>
      </c>
      <c r="K114" s="2"/>
      <c r="L114" s="6">
        <f t="shared" si="72"/>
        <v>0</v>
      </c>
      <c r="M114" s="2"/>
      <c r="N114" s="7">
        <f t="shared" si="73"/>
        <v>0</v>
      </c>
      <c r="O114" s="11"/>
      <c r="P114" s="6">
        <v>23160.29</v>
      </c>
      <c r="Q114" s="2"/>
      <c r="R114" s="7">
        <f t="shared" si="74"/>
        <v>6.3259943058187555E-3</v>
      </c>
      <c r="S114" s="2"/>
      <c r="T114" s="6">
        <v>16162</v>
      </c>
      <c r="U114" s="2"/>
      <c r="V114" s="7">
        <f t="shared" si="75"/>
        <v>3.2626275921154311E-3</v>
      </c>
      <c r="W114" s="2"/>
      <c r="X114" s="6">
        <f t="shared" si="76"/>
        <v>6998.2900000000009</v>
      </c>
      <c r="Y114" s="2"/>
      <c r="Z114" s="7">
        <f t="shared" si="77"/>
        <v>0.43300890978839257</v>
      </c>
    </row>
    <row r="115" spans="1:26" s="24" customFormat="1" hidden="1" outlineLevel="2" x14ac:dyDescent="0.3">
      <c r="A115" s="29"/>
      <c r="B115" s="11" t="str">
        <f>CONCATENATE("          ", "6254", " - ", "ROYALTY &amp; COMMISSIONS")</f>
        <v xml:space="preserve">          6254 - ROYALTY &amp; COMMISSIONS</v>
      </c>
      <c r="C115" s="11"/>
      <c r="D115" s="6">
        <v>0</v>
      </c>
      <c r="E115" s="2"/>
      <c r="F115" s="7">
        <f t="shared" si="70"/>
        <v>0</v>
      </c>
      <c r="G115" s="2"/>
      <c r="H115" s="6">
        <v>0</v>
      </c>
      <c r="I115" s="2"/>
      <c r="J115" s="7">
        <f t="shared" si="71"/>
        <v>0</v>
      </c>
      <c r="K115" s="2"/>
      <c r="L115" s="6">
        <f t="shared" si="72"/>
        <v>0</v>
      </c>
      <c r="M115" s="2"/>
      <c r="N115" s="7">
        <f t="shared" si="73"/>
        <v>0</v>
      </c>
      <c r="O115" s="11"/>
      <c r="P115" s="6">
        <v>-7027.5</v>
      </c>
      <c r="Q115" s="2"/>
      <c r="R115" s="7">
        <f t="shared" si="74"/>
        <v>-1.919489133518678E-3</v>
      </c>
      <c r="S115" s="2"/>
      <c r="T115" s="6">
        <v>0</v>
      </c>
      <c r="U115" s="2"/>
      <c r="V115" s="7">
        <f t="shared" si="75"/>
        <v>0</v>
      </c>
      <c r="W115" s="2"/>
      <c r="X115" s="6">
        <f t="shared" si="76"/>
        <v>-7027.5</v>
      </c>
      <c r="Y115" s="2"/>
      <c r="Z115" s="7">
        <f t="shared" si="77"/>
        <v>0</v>
      </c>
    </row>
    <row r="116" spans="1:26" s="24" customFormat="1" hidden="1" outlineLevel="2" x14ac:dyDescent="0.3">
      <c r="A116" s="29"/>
      <c r="B116" s="11" t="str">
        <f>CONCATENATE("          ", "6259", " - ", "ROYALTY &amp; COMMISSIONS")</f>
        <v xml:space="preserve">          6259 - ROYALTY &amp; COMMISSIONS</v>
      </c>
      <c r="C116" s="11"/>
      <c r="D116" s="6">
        <v>1121.23</v>
      </c>
      <c r="E116" s="2"/>
      <c r="F116" s="7">
        <f t="shared" si="70"/>
        <v>2.2504588509029409E-3</v>
      </c>
      <c r="G116" s="2"/>
      <c r="H116" s="6">
        <v>3000</v>
      </c>
      <c r="I116" s="2"/>
      <c r="J116" s="7">
        <f t="shared" si="71"/>
        <v>7.2427204623752746E-3</v>
      </c>
      <c r="K116" s="2"/>
      <c r="L116" s="6">
        <f t="shared" si="72"/>
        <v>-1878.77</v>
      </c>
      <c r="M116" s="2"/>
      <c r="N116" s="7">
        <f t="shared" si="73"/>
        <v>-0.62625666666666668</v>
      </c>
      <c r="O116" s="11"/>
      <c r="P116" s="6">
        <v>5614.14</v>
      </c>
      <c r="Q116" s="2"/>
      <c r="R116" s="7">
        <f t="shared" si="74"/>
        <v>1.5334444288939953E-3</v>
      </c>
      <c r="S116" s="2"/>
      <c r="T116" s="6">
        <v>18700</v>
      </c>
      <c r="U116" s="2"/>
      <c r="V116" s="7">
        <f t="shared" si="75"/>
        <v>3.7749743826604727E-3</v>
      </c>
      <c r="W116" s="2"/>
      <c r="X116" s="6">
        <f t="shared" si="76"/>
        <v>-13085.86</v>
      </c>
      <c r="Y116" s="2"/>
      <c r="Z116" s="7">
        <f t="shared" si="77"/>
        <v>-0.69977860962566851</v>
      </c>
    </row>
    <row r="117" spans="1:26" s="28" customFormat="1" outlineLevel="1" collapsed="1" x14ac:dyDescent="0.3">
      <c r="A117" s="27"/>
      <c r="B117" s="14" t="str">
        <f>CONCATENATE("     ","Services                                          ")</f>
        <v xml:space="preserve">     Services                                          </v>
      </c>
      <c r="C117" s="14"/>
      <c r="D117" s="1">
        <f>SUM(OSRRefD22_18x_0)</f>
        <v>4823.41</v>
      </c>
      <c r="E117" s="1"/>
      <c r="F117" s="5">
        <f t="shared" ref="F117:F120" si="78">IF(D$12=0,0,D117/D$12)</f>
        <v>9.6812301900892368E-3</v>
      </c>
      <c r="G117" s="1"/>
      <c r="H117" s="1">
        <f>SUM(OSRRefH22_18x_0)</f>
        <v>4420</v>
      </c>
      <c r="I117" s="1"/>
      <c r="J117" s="5">
        <f t="shared" ref="J117:J120" si="79">IF(H$12=0,0,H117/H$12)</f>
        <v>1.0670941481232904E-2</v>
      </c>
      <c r="K117" s="1"/>
      <c r="L117" s="1">
        <f t="shared" ref="L117:L120" si="80">+D117-H117</f>
        <v>403.40999999999985</v>
      </c>
      <c r="M117" s="1"/>
      <c r="N117" s="5">
        <f t="shared" ref="N117:N120" si="81">IF(H117=0,0,L117/H117)</f>
        <v>9.1269230769230741E-2</v>
      </c>
      <c r="O117" s="14"/>
      <c r="P117" s="1">
        <f>SUM(OSRRefP22_18x_0)</f>
        <v>35786.99</v>
      </c>
      <c r="Q117" s="1"/>
      <c r="R117" s="5">
        <f t="shared" ref="R117:R120" si="82">IF(P$12=0,0,P117/P$12)</f>
        <v>9.7748471613435198E-3</v>
      </c>
      <c r="S117" s="1"/>
      <c r="T117" s="1">
        <f>SUM(OSRRefT22_18x_0)</f>
        <v>26280</v>
      </c>
      <c r="U117" s="1"/>
      <c r="V117" s="5">
        <f t="shared" ref="V117:V120" si="83">IF(T$12=0,0,T117/T$12)</f>
        <v>5.3051511645089422E-3</v>
      </c>
      <c r="W117" s="1"/>
      <c r="X117" s="1">
        <f t="shared" ref="X117:X120" si="84">+P117-T117</f>
        <v>9506.989999999998</v>
      </c>
      <c r="Y117" s="1"/>
      <c r="Z117" s="5">
        <f t="shared" ref="Z117:Z120" si="85">IF(T117=0,0,X117/T117)</f>
        <v>0.36175761035007603</v>
      </c>
    </row>
    <row r="118" spans="1:26" s="24" customFormat="1" hidden="1" outlineLevel="2" x14ac:dyDescent="0.3">
      <c r="A118" s="29"/>
      <c r="B118" s="11" t="str">
        <f>CONCATENATE("          ", "6282", " - ", "JANITORIAL/EXTERMINATOR EXPENS")</f>
        <v xml:space="preserve">          6282 - JANITORIAL/EXTERMINATOR EXPENS</v>
      </c>
      <c r="C118" s="11"/>
      <c r="D118" s="6">
        <v>267</v>
      </c>
      <c r="E118" s="2"/>
      <c r="F118" s="7">
        <f t="shared" si="78"/>
        <v>5.3590477706722548E-4</v>
      </c>
      <c r="G118" s="2"/>
      <c r="H118" s="6">
        <v>4300</v>
      </c>
      <c r="I118" s="2"/>
      <c r="J118" s="7">
        <f t="shared" si="79"/>
        <v>1.0381232662737893E-2</v>
      </c>
      <c r="K118" s="2"/>
      <c r="L118" s="6">
        <f t="shared" si="80"/>
        <v>-4033</v>
      </c>
      <c r="M118" s="2"/>
      <c r="N118" s="7">
        <f t="shared" si="81"/>
        <v>-0.93790697674418599</v>
      </c>
      <c r="O118" s="11"/>
      <c r="P118" s="6">
        <v>2124.6799999999998</v>
      </c>
      <c r="Q118" s="2"/>
      <c r="R118" s="7">
        <f t="shared" si="82"/>
        <v>5.803344250735631E-4</v>
      </c>
      <c r="S118" s="2"/>
      <c r="T118" s="6">
        <v>25800</v>
      </c>
      <c r="U118" s="2"/>
      <c r="V118" s="7">
        <f t="shared" si="83"/>
        <v>5.2082534263443959E-3</v>
      </c>
      <c r="W118" s="2"/>
      <c r="X118" s="6">
        <f t="shared" si="84"/>
        <v>-23675.32</v>
      </c>
      <c r="Y118" s="2"/>
      <c r="Z118" s="7">
        <f t="shared" si="85"/>
        <v>-0.91764806201550386</v>
      </c>
    </row>
    <row r="119" spans="1:26" s="24" customFormat="1" hidden="1" outlineLevel="2" x14ac:dyDescent="0.3">
      <c r="A119" s="29"/>
      <c r="B119" s="11" t="str">
        <f>CONCATENATE("          ", "6284", " - ", "TRASH REMOVAL EXPENSE")</f>
        <v xml:space="preserve">          6284 - TRASH REMOVAL EXPENSE</v>
      </c>
      <c r="C119" s="11"/>
      <c r="D119" s="6">
        <v>149.69999999999999</v>
      </c>
      <c r="E119" s="2"/>
      <c r="F119" s="7">
        <f t="shared" si="78"/>
        <v>3.0046795927701742E-4</v>
      </c>
      <c r="G119" s="2"/>
      <c r="H119" s="6">
        <v>120</v>
      </c>
      <c r="I119" s="2"/>
      <c r="J119" s="7">
        <f t="shared" si="79"/>
        <v>2.8970881849501098E-4</v>
      </c>
      <c r="K119" s="2"/>
      <c r="L119" s="6">
        <f t="shared" si="80"/>
        <v>29.699999999999989</v>
      </c>
      <c r="M119" s="2"/>
      <c r="N119" s="7">
        <f t="shared" si="81"/>
        <v>0.24749999999999991</v>
      </c>
      <c r="O119" s="11"/>
      <c r="P119" s="6">
        <v>891.07</v>
      </c>
      <c r="Q119" s="2"/>
      <c r="R119" s="7">
        <f t="shared" si="82"/>
        <v>2.4338657875553021E-4</v>
      </c>
      <c r="S119" s="2"/>
      <c r="T119" s="6">
        <v>480</v>
      </c>
      <c r="U119" s="2"/>
      <c r="V119" s="7">
        <f t="shared" si="83"/>
        <v>9.6897738164546893E-5</v>
      </c>
      <c r="W119" s="2"/>
      <c r="X119" s="6">
        <f t="shared" si="84"/>
        <v>411.07000000000005</v>
      </c>
      <c r="Y119" s="2"/>
      <c r="Z119" s="7">
        <f t="shared" si="85"/>
        <v>0.85639583333333347</v>
      </c>
    </row>
    <row r="120" spans="1:26" s="24" customFormat="1" hidden="1" outlineLevel="2" x14ac:dyDescent="0.3">
      <c r="A120" s="29"/>
      <c r="B120" s="11" t="str">
        <f>CONCATENATE("          ", "6285", " - ", "JANITORIAL SERVICES")</f>
        <v xml:space="preserve">          6285 - JANITORIAL SERVICES</v>
      </c>
      <c r="C120" s="11"/>
      <c r="D120" s="6">
        <v>4406.71</v>
      </c>
      <c r="E120" s="2"/>
      <c r="F120" s="7">
        <f t="shared" si="78"/>
        <v>8.8448574537449941E-3</v>
      </c>
      <c r="G120" s="2"/>
      <c r="H120" s="6"/>
      <c r="I120" s="2"/>
      <c r="J120" s="7">
        <f t="shared" si="79"/>
        <v>0</v>
      </c>
      <c r="K120" s="2"/>
      <c r="L120" s="6">
        <f t="shared" si="80"/>
        <v>4406.71</v>
      </c>
      <c r="M120" s="2"/>
      <c r="N120" s="7">
        <f t="shared" si="81"/>
        <v>0</v>
      </c>
      <c r="O120" s="11"/>
      <c r="P120" s="6">
        <v>32771.24</v>
      </c>
      <c r="Q120" s="2"/>
      <c r="R120" s="7">
        <f t="shared" si="82"/>
        <v>8.9511261575144271E-3</v>
      </c>
      <c r="S120" s="2"/>
      <c r="T120" s="6"/>
      <c r="U120" s="2"/>
      <c r="V120" s="7">
        <f t="shared" si="83"/>
        <v>0</v>
      </c>
      <c r="W120" s="2"/>
      <c r="X120" s="6">
        <f t="shared" si="84"/>
        <v>32771.24</v>
      </c>
      <c r="Y120" s="2"/>
      <c r="Z120" s="7">
        <f t="shared" si="85"/>
        <v>0</v>
      </c>
    </row>
    <row r="121" spans="1:26" s="28" customFormat="1" outlineLevel="1" collapsed="1" x14ac:dyDescent="0.3">
      <c r="A121" s="27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1">
        <f>SUM(OSRRefD22_19x_0)</f>
        <v>286.24</v>
      </c>
      <c r="E121" s="1"/>
      <c r="F121" s="5">
        <f t="shared" ref="F121:F123" si="86">IF(D$12=0,0,D121/D$12)</f>
        <v>5.7452203516000983E-4</v>
      </c>
      <c r="G121" s="1"/>
      <c r="H121" s="1">
        <f>SUM(OSRRefH22_19x_0)</f>
        <v>1361</v>
      </c>
      <c r="I121" s="1"/>
      <c r="J121" s="5">
        <f t="shared" ref="J121:J123" si="87">IF(H$12=0,0,H121/H$12)</f>
        <v>3.2857808497642493E-3</v>
      </c>
      <c r="K121" s="1"/>
      <c r="L121" s="1">
        <f t="shared" ref="L121:L123" si="88">+D121-H121</f>
        <v>-1074.76</v>
      </c>
      <c r="M121" s="1"/>
      <c r="N121" s="5">
        <f t="shared" ref="N121:N123" si="89">IF(H121=0,0,L121/H121)</f>
        <v>-0.7896840558412932</v>
      </c>
      <c r="O121" s="14"/>
      <c r="P121" s="1">
        <f>SUM(OSRRefP22_19x_0)</f>
        <v>1391.74</v>
      </c>
      <c r="Q121" s="1"/>
      <c r="R121" s="5">
        <f t="shared" ref="R121:R123" si="90">IF(P$12=0,0,P121/P$12)</f>
        <v>3.8013942464365492E-4</v>
      </c>
      <c r="S121" s="1"/>
      <c r="T121" s="1">
        <f>SUM(OSRRefT22_19x_0)</f>
        <v>6621</v>
      </c>
      <c r="U121" s="1"/>
      <c r="V121" s="5">
        <f t="shared" ref="V121:V123" si="91">IF(T$12=0,0,T121/T$12)</f>
        <v>1.3365831758072187E-3</v>
      </c>
      <c r="W121" s="1"/>
      <c r="X121" s="1">
        <f t="shared" ref="X121:X123" si="92">+P121-T121</f>
        <v>-5229.26</v>
      </c>
      <c r="Y121" s="1"/>
      <c r="Z121" s="5">
        <f t="shared" ref="Z121:Z123" si="93">IF(T121=0,0,X121/T121)</f>
        <v>-0.78979912399939589</v>
      </c>
    </row>
    <row r="122" spans="1:26" s="24" customFormat="1" hidden="1" outlineLevel="2" x14ac:dyDescent="0.3">
      <c r="A122" s="29"/>
      <c r="B122" s="11" t="str">
        <f>CONCATENATE("          ", "6258", " - ", "MEMBERSHIP DUES")</f>
        <v xml:space="preserve">          6258 - MEMBERSHIP DUES</v>
      </c>
      <c r="C122" s="11"/>
      <c r="D122" s="6">
        <v>286.24</v>
      </c>
      <c r="E122" s="2"/>
      <c r="F122" s="7">
        <f t="shared" si="86"/>
        <v>5.7452203516000983E-4</v>
      </c>
      <c r="G122" s="2"/>
      <c r="H122" s="6">
        <v>1300</v>
      </c>
      <c r="I122" s="2"/>
      <c r="J122" s="7">
        <f t="shared" si="87"/>
        <v>3.1385122003626188E-3</v>
      </c>
      <c r="K122" s="2"/>
      <c r="L122" s="6">
        <f t="shared" si="88"/>
        <v>-1013.76</v>
      </c>
      <c r="M122" s="2"/>
      <c r="N122" s="7">
        <f t="shared" si="89"/>
        <v>-0.77981538461538458</v>
      </c>
      <c r="O122" s="11"/>
      <c r="P122" s="6">
        <v>1391.74</v>
      </c>
      <c r="Q122" s="2"/>
      <c r="R122" s="7">
        <f t="shared" si="90"/>
        <v>3.8013942464365492E-4</v>
      </c>
      <c r="S122" s="2"/>
      <c r="T122" s="6">
        <v>6195</v>
      </c>
      <c r="U122" s="2"/>
      <c r="V122" s="7">
        <f t="shared" si="91"/>
        <v>1.2505864331861833E-3</v>
      </c>
      <c r="W122" s="2"/>
      <c r="X122" s="6">
        <f t="shared" si="92"/>
        <v>-4803.26</v>
      </c>
      <c r="Y122" s="2"/>
      <c r="Z122" s="7">
        <f t="shared" si="93"/>
        <v>-0.77534463276836163</v>
      </c>
    </row>
    <row r="123" spans="1:26" s="24" customFormat="1" hidden="1" outlineLevel="2" x14ac:dyDescent="0.3">
      <c r="A123" s="29"/>
      <c r="B123" s="11" t="str">
        <f>CONCATENATE("          ", "6275", " - ", "SUBSCRIPTIONS")</f>
        <v xml:space="preserve">          6275 - SUBSCRIPTIONS</v>
      </c>
      <c r="C123" s="11"/>
      <c r="D123" s="6"/>
      <c r="E123" s="2"/>
      <c r="F123" s="7">
        <f t="shared" si="86"/>
        <v>0</v>
      </c>
      <c r="G123" s="2"/>
      <c r="H123" s="6">
        <v>61</v>
      </c>
      <c r="I123" s="2"/>
      <c r="J123" s="7">
        <f t="shared" si="87"/>
        <v>1.4726864940163057E-4</v>
      </c>
      <c r="K123" s="2"/>
      <c r="L123" s="6">
        <f t="shared" si="88"/>
        <v>-61</v>
      </c>
      <c r="M123" s="2"/>
      <c r="N123" s="7">
        <f t="shared" si="89"/>
        <v>-1</v>
      </c>
      <c r="O123" s="11"/>
      <c r="P123" s="6"/>
      <c r="Q123" s="2"/>
      <c r="R123" s="7">
        <f t="shared" si="90"/>
        <v>0</v>
      </c>
      <c r="S123" s="2"/>
      <c r="T123" s="6">
        <v>426</v>
      </c>
      <c r="U123" s="2"/>
      <c r="V123" s="7">
        <f t="shared" si="91"/>
        <v>8.5996742621035366E-5</v>
      </c>
      <c r="W123" s="2"/>
      <c r="X123" s="6">
        <f t="shared" si="92"/>
        <v>-426</v>
      </c>
      <c r="Y123" s="2"/>
      <c r="Z123" s="7">
        <f t="shared" si="93"/>
        <v>-1</v>
      </c>
    </row>
    <row r="124" spans="1:26" s="28" customFormat="1" outlineLevel="1" collapsed="1" x14ac:dyDescent="0.3">
      <c r="A124" s="27"/>
      <c r="B124" s="14" t="str">
        <f>CONCATENATE("     ","Supplies                                          ")</f>
        <v xml:space="preserve">     Supplies                                          </v>
      </c>
      <c r="C124" s="14"/>
      <c r="D124" s="1">
        <f>SUM(OSRRefD22_20x_0)</f>
        <v>5980.2800000000007</v>
      </c>
      <c r="E124" s="1"/>
      <c r="F124" s="5">
        <f t="shared" ref="F124:F131" si="94">IF(D$12=0,0,D124/D$12)</f>
        <v>1.2003223296627669E-2</v>
      </c>
      <c r="G124" s="1"/>
      <c r="H124" s="1">
        <f>SUM(OSRRefH22_20x_0)</f>
        <v>8330</v>
      </c>
      <c r="I124" s="1"/>
      <c r="J124" s="5">
        <f t="shared" ref="J124:J131" si="95">IF(H$12=0,0,H124/H$12)</f>
        <v>2.0110620483862012E-2</v>
      </c>
      <c r="K124" s="1"/>
      <c r="L124" s="1">
        <f t="shared" ref="L124:L131" si="96">+D124-H124</f>
        <v>-2349.7199999999993</v>
      </c>
      <c r="M124" s="1"/>
      <c r="N124" s="5">
        <f t="shared" ref="N124:N131" si="97">IF(H124=0,0,L124/H124)</f>
        <v>-0.28207923169267701</v>
      </c>
      <c r="O124" s="14"/>
      <c r="P124" s="1">
        <f>SUM(OSRRefP22_20x_0)</f>
        <v>52716.789999999994</v>
      </c>
      <c r="Q124" s="1"/>
      <c r="R124" s="5">
        <f t="shared" ref="R124:R131" si="98">IF(P$12=0,0,P124/P$12)</f>
        <v>1.4399047393665756E-2</v>
      </c>
      <c r="S124" s="1"/>
      <c r="T124" s="1">
        <f>SUM(OSRRefT22_20x_0)</f>
        <v>60160</v>
      </c>
      <c r="U124" s="1"/>
      <c r="V124" s="5">
        <f t="shared" ref="V124:V131" si="99">IF(T$12=0,0,T124/T$12)</f>
        <v>1.2144516516623211E-2</v>
      </c>
      <c r="W124" s="1"/>
      <c r="X124" s="1">
        <f t="shared" ref="X124:X131" si="100">+P124-T124</f>
        <v>-7443.2100000000064</v>
      </c>
      <c r="Y124" s="1"/>
      <c r="Z124" s="5">
        <f t="shared" ref="Z124:Z131" si="101">IF(T124=0,0,X124/T124)</f>
        <v>-0.12372357047872351</v>
      </c>
    </row>
    <row r="125" spans="1:26" s="24" customFormat="1" hidden="1" outlineLevel="2" x14ac:dyDescent="0.3">
      <c r="A125" s="29"/>
      <c r="B125" s="11" t="str">
        <f>CONCATENATE("          ", "6234", " - ", "EXPENDABLE SUPPLIES &amp; EQUIPMEN")</f>
        <v xml:space="preserve">          6234 - EXPENDABLE SUPPLIES &amp; EQUIPMEN</v>
      </c>
      <c r="C125" s="11"/>
      <c r="D125" s="6"/>
      <c r="E125" s="2"/>
      <c r="F125" s="7">
        <f t="shared" si="94"/>
        <v>0</v>
      </c>
      <c r="G125" s="2"/>
      <c r="H125" s="6">
        <v>300</v>
      </c>
      <c r="I125" s="2"/>
      <c r="J125" s="7">
        <f t="shared" si="95"/>
        <v>7.2427204623752746E-4</v>
      </c>
      <c r="K125" s="2"/>
      <c r="L125" s="6">
        <f t="shared" si="96"/>
        <v>-300</v>
      </c>
      <c r="M125" s="2"/>
      <c r="N125" s="7">
        <f t="shared" si="97"/>
        <v>-1</v>
      </c>
      <c r="O125" s="11"/>
      <c r="P125" s="6">
        <v>5289.57</v>
      </c>
      <c r="Q125" s="2"/>
      <c r="R125" s="7">
        <f t="shared" si="98"/>
        <v>1.4447914814637343E-3</v>
      </c>
      <c r="S125" s="2"/>
      <c r="T125" s="6">
        <v>1200</v>
      </c>
      <c r="U125" s="2"/>
      <c r="V125" s="7">
        <f t="shared" si="99"/>
        <v>2.4224434541136723E-4</v>
      </c>
      <c r="W125" s="2"/>
      <c r="X125" s="6">
        <f t="shared" si="100"/>
        <v>4089.5699999999997</v>
      </c>
      <c r="Y125" s="2"/>
      <c r="Z125" s="7">
        <f t="shared" si="101"/>
        <v>3.407975</v>
      </c>
    </row>
    <row r="126" spans="1:26" s="24" customFormat="1" hidden="1" outlineLevel="2" x14ac:dyDescent="0.3">
      <c r="A126" s="29"/>
      <c r="B126" s="11" t="str">
        <f>CONCATENATE("          ", "6235", " - ", "COVID-19 EXPENSES")</f>
        <v xml:space="preserve">          6235 - COVID-19 EXPENSES</v>
      </c>
      <c r="C126" s="11"/>
      <c r="D126" s="6"/>
      <c r="E126" s="2"/>
      <c r="F126" s="7">
        <f t="shared" si="94"/>
        <v>0</v>
      </c>
      <c r="G126" s="2"/>
      <c r="H126" s="6">
        <v>125</v>
      </c>
      <c r="I126" s="2"/>
      <c r="J126" s="7">
        <f t="shared" si="95"/>
        <v>3.0178001926563642E-4</v>
      </c>
      <c r="K126" s="2"/>
      <c r="L126" s="6">
        <f t="shared" si="96"/>
        <v>-125</v>
      </c>
      <c r="M126" s="2"/>
      <c r="N126" s="7">
        <f t="shared" si="97"/>
        <v>-1</v>
      </c>
      <c r="O126" s="11"/>
      <c r="P126" s="6">
        <v>3430.32</v>
      </c>
      <c r="Q126" s="2"/>
      <c r="R126" s="7">
        <f t="shared" si="98"/>
        <v>9.3695652287325388E-4</v>
      </c>
      <c r="S126" s="2"/>
      <c r="T126" s="6">
        <v>750</v>
      </c>
      <c r="U126" s="2"/>
      <c r="V126" s="7">
        <f t="shared" si="99"/>
        <v>1.5140271588210452E-4</v>
      </c>
      <c r="W126" s="2"/>
      <c r="X126" s="6">
        <f t="shared" si="100"/>
        <v>2680.32</v>
      </c>
      <c r="Y126" s="2"/>
      <c r="Z126" s="7">
        <f t="shared" si="101"/>
        <v>3.57376</v>
      </c>
    </row>
    <row r="127" spans="1:26" s="24" customFormat="1" hidden="1" outlineLevel="2" x14ac:dyDescent="0.3">
      <c r="A127" s="29"/>
      <c r="B127" s="11" t="str">
        <f>CONCATENATE("          ", "6237", " - ", "JANITORIAL SUPPLIES")</f>
        <v xml:space="preserve">          6237 - JANITORIAL SUPPLIES</v>
      </c>
      <c r="C127" s="11"/>
      <c r="D127" s="6"/>
      <c r="E127" s="2"/>
      <c r="F127" s="7">
        <f t="shared" si="94"/>
        <v>0</v>
      </c>
      <c r="G127" s="2"/>
      <c r="H127" s="6">
        <v>50</v>
      </c>
      <c r="I127" s="2"/>
      <c r="J127" s="7">
        <f t="shared" si="95"/>
        <v>1.2071200770625457E-4</v>
      </c>
      <c r="K127" s="2"/>
      <c r="L127" s="6">
        <f t="shared" si="96"/>
        <v>-50</v>
      </c>
      <c r="M127" s="2"/>
      <c r="N127" s="7">
        <f t="shared" si="97"/>
        <v>-1</v>
      </c>
      <c r="O127" s="11"/>
      <c r="P127" s="6">
        <v>3866.14</v>
      </c>
      <c r="Q127" s="2"/>
      <c r="R127" s="7">
        <f t="shared" si="98"/>
        <v>1.0559962602151407E-3</v>
      </c>
      <c r="S127" s="2"/>
      <c r="T127" s="6">
        <v>140</v>
      </c>
      <c r="U127" s="2"/>
      <c r="V127" s="7">
        <f t="shared" si="99"/>
        <v>2.8261840297992846E-5</v>
      </c>
      <c r="W127" s="2"/>
      <c r="X127" s="6">
        <f t="shared" si="100"/>
        <v>3726.14</v>
      </c>
      <c r="Y127" s="2"/>
      <c r="Z127" s="7">
        <f t="shared" si="101"/>
        <v>26.615285714285715</v>
      </c>
    </row>
    <row r="128" spans="1:26" s="24" customFormat="1" hidden="1" outlineLevel="2" x14ac:dyDescent="0.3">
      <c r="A128" s="29"/>
      <c r="B128" s="11" t="str">
        <f>CONCATENATE("          ", "6241", " - ", "OFFICE EXPENSE")</f>
        <v xml:space="preserve">          6241 - OFFICE EXPENSE</v>
      </c>
      <c r="C128" s="11"/>
      <c r="D128" s="6">
        <v>855.37</v>
      </c>
      <c r="E128" s="2"/>
      <c r="F128" s="7">
        <f t="shared" si="94"/>
        <v>1.7168422065917328E-3</v>
      </c>
      <c r="G128" s="2"/>
      <c r="H128" s="6">
        <v>970</v>
      </c>
      <c r="I128" s="2"/>
      <c r="J128" s="7">
        <f t="shared" si="95"/>
        <v>2.3418129495013386E-3</v>
      </c>
      <c r="K128" s="2"/>
      <c r="L128" s="6">
        <f t="shared" si="96"/>
        <v>-114.63</v>
      </c>
      <c r="M128" s="2"/>
      <c r="N128" s="7">
        <f t="shared" si="97"/>
        <v>-0.11817525773195876</v>
      </c>
      <c r="O128" s="11"/>
      <c r="P128" s="6">
        <v>8396.7800000000007</v>
      </c>
      <c r="Q128" s="2"/>
      <c r="R128" s="7">
        <f t="shared" si="98"/>
        <v>2.2934938408462422E-3</v>
      </c>
      <c r="S128" s="2"/>
      <c r="T128" s="6">
        <v>3620</v>
      </c>
      <c r="U128" s="2"/>
      <c r="V128" s="7">
        <f t="shared" si="99"/>
        <v>7.3077044199095777E-4</v>
      </c>
      <c r="W128" s="2"/>
      <c r="X128" s="6">
        <f t="shared" si="100"/>
        <v>4776.7800000000007</v>
      </c>
      <c r="Y128" s="2"/>
      <c r="Z128" s="7">
        <f t="shared" si="101"/>
        <v>1.3195524861878454</v>
      </c>
    </row>
    <row r="129" spans="1:26" s="24" customFormat="1" hidden="1" outlineLevel="2" x14ac:dyDescent="0.3">
      <c r="A129" s="29"/>
      <c r="B129" s="11" t="str">
        <f>CONCATENATE("          ", "6243", " - ", "PAPER SUPPLIES")</f>
        <v xml:space="preserve">          6243 - PAPER SUPPLIES</v>
      </c>
      <c r="C129" s="11"/>
      <c r="D129" s="6"/>
      <c r="E129" s="2"/>
      <c r="F129" s="7">
        <f t="shared" si="94"/>
        <v>0</v>
      </c>
      <c r="G129" s="2"/>
      <c r="H129" s="6">
        <v>1200</v>
      </c>
      <c r="I129" s="2"/>
      <c r="J129" s="7">
        <f t="shared" si="95"/>
        <v>2.8970881849501098E-3</v>
      </c>
      <c r="K129" s="2"/>
      <c r="L129" s="6">
        <f t="shared" si="96"/>
        <v>-1200</v>
      </c>
      <c r="M129" s="2"/>
      <c r="N129" s="7">
        <f t="shared" si="97"/>
        <v>-1</v>
      </c>
      <c r="O129" s="11"/>
      <c r="P129" s="6">
        <v>4470.8999999999996</v>
      </c>
      <c r="Q129" s="2"/>
      <c r="R129" s="7">
        <f t="shared" si="98"/>
        <v>1.2211802158731636E-3</v>
      </c>
      <c r="S129" s="2"/>
      <c r="T129" s="6">
        <v>18900</v>
      </c>
      <c r="U129" s="2"/>
      <c r="V129" s="7">
        <f t="shared" si="99"/>
        <v>3.8153484402290339E-3</v>
      </c>
      <c r="W129" s="2"/>
      <c r="X129" s="6">
        <f t="shared" si="100"/>
        <v>-14429.1</v>
      </c>
      <c r="Y129" s="2"/>
      <c r="Z129" s="7">
        <f t="shared" si="101"/>
        <v>-0.76344444444444448</v>
      </c>
    </row>
    <row r="130" spans="1:26" s="24" customFormat="1" hidden="1" outlineLevel="2" x14ac:dyDescent="0.3">
      <c r="A130" s="29"/>
      <c r="B130" s="11" t="str">
        <f>CONCATENATE("          ", "6245", " - ", "PRINTING")</f>
        <v xml:space="preserve">          6245 - PRINTING</v>
      </c>
      <c r="C130" s="11"/>
      <c r="D130" s="6">
        <v>1046.49</v>
      </c>
      <c r="E130" s="2"/>
      <c r="F130" s="7">
        <f t="shared" si="94"/>
        <v>2.1004456560040478E-3</v>
      </c>
      <c r="G130" s="2"/>
      <c r="H130" s="6">
        <v>160</v>
      </c>
      <c r="I130" s="2"/>
      <c r="J130" s="7">
        <f t="shared" si="95"/>
        <v>3.8627842466001461E-4</v>
      </c>
      <c r="K130" s="2"/>
      <c r="L130" s="6">
        <f t="shared" si="96"/>
        <v>886.49</v>
      </c>
      <c r="M130" s="2"/>
      <c r="N130" s="7">
        <f t="shared" si="97"/>
        <v>5.5405625000000001</v>
      </c>
      <c r="O130" s="11"/>
      <c r="P130" s="6">
        <v>2111.98</v>
      </c>
      <c r="Q130" s="2"/>
      <c r="R130" s="7">
        <f t="shared" si="98"/>
        <v>5.7686555107915722E-4</v>
      </c>
      <c r="S130" s="2"/>
      <c r="T130" s="6">
        <v>2145</v>
      </c>
      <c r="U130" s="2"/>
      <c r="V130" s="7">
        <f t="shared" si="99"/>
        <v>4.3301176742281894E-4</v>
      </c>
      <c r="W130" s="2"/>
      <c r="X130" s="6">
        <f t="shared" si="100"/>
        <v>-33.019999999999982</v>
      </c>
      <c r="Y130" s="2"/>
      <c r="Z130" s="7">
        <f t="shared" si="101"/>
        <v>-1.5393939393939385E-2</v>
      </c>
    </row>
    <row r="131" spans="1:26" s="24" customFormat="1" hidden="1" outlineLevel="2" x14ac:dyDescent="0.3">
      <c r="A131" s="29"/>
      <c r="B131" s="11" t="str">
        <f>CONCATENATE("          ", "6247", " - ", "STORE SUPPLIES")</f>
        <v xml:space="preserve">          6247 - STORE SUPPLIES</v>
      </c>
      <c r="C131" s="11"/>
      <c r="D131" s="6">
        <v>4078.42</v>
      </c>
      <c r="E131" s="2"/>
      <c r="F131" s="7">
        <f t="shared" si="94"/>
        <v>8.1859354340318869E-3</v>
      </c>
      <c r="G131" s="2"/>
      <c r="H131" s="6">
        <v>5525</v>
      </c>
      <c r="I131" s="2"/>
      <c r="J131" s="7">
        <f t="shared" si="95"/>
        <v>1.333867685154113E-2</v>
      </c>
      <c r="K131" s="2"/>
      <c r="L131" s="6">
        <f t="shared" si="96"/>
        <v>-1446.58</v>
      </c>
      <c r="M131" s="2"/>
      <c r="N131" s="7">
        <f t="shared" si="97"/>
        <v>-0.26182443438914027</v>
      </c>
      <c r="O131" s="11"/>
      <c r="P131" s="6">
        <v>25151.1</v>
      </c>
      <c r="Q131" s="2"/>
      <c r="R131" s="7">
        <f t="shared" si="98"/>
        <v>6.869763521315065E-3</v>
      </c>
      <c r="S131" s="2"/>
      <c r="T131" s="6">
        <v>33405</v>
      </c>
      <c r="U131" s="2"/>
      <c r="V131" s="7">
        <f t="shared" si="99"/>
        <v>6.7434769653889354E-3</v>
      </c>
      <c r="W131" s="2"/>
      <c r="X131" s="6">
        <f t="shared" si="100"/>
        <v>-8253.9000000000015</v>
      </c>
      <c r="Y131" s="2"/>
      <c r="Z131" s="7">
        <f t="shared" si="101"/>
        <v>-0.24708576560395154</v>
      </c>
    </row>
    <row r="132" spans="1:26" s="28" customFormat="1" outlineLevel="1" collapsed="1" x14ac:dyDescent="0.3">
      <c r="A132" s="27"/>
      <c r="B132" s="14" t="str">
        <f>CONCATENATE("     ","Telephone/Data Lines                              ")</f>
        <v xml:space="preserve">     Telephone/Data Lines                              </v>
      </c>
      <c r="C132" s="14"/>
      <c r="D132" s="1">
        <f>SUM(OSRRefD22_21x_0)</f>
        <v>1165.51</v>
      </c>
      <c r="E132" s="1"/>
      <c r="F132" s="5">
        <f t="shared" ref="F132:F134" si="102">IF(D$12=0,0,D132/D$12)</f>
        <v>2.3393347442682471E-3</v>
      </c>
      <c r="G132" s="1"/>
      <c r="H132" s="1">
        <f>SUM(OSRRefH22_21x_0)</f>
        <v>1885</v>
      </c>
      <c r="I132" s="1"/>
      <c r="J132" s="5">
        <f t="shared" ref="J132:J134" si="103">IF(H$12=0,0,H132/H$12)</f>
        <v>4.5508426905257974E-3</v>
      </c>
      <c r="K132" s="1"/>
      <c r="L132" s="1">
        <f t="shared" ref="L132:L134" si="104">+D132-H132</f>
        <v>-719.49</v>
      </c>
      <c r="M132" s="1"/>
      <c r="N132" s="5">
        <f t="shared" ref="N132:N134" si="105">IF(H132=0,0,L132/H132)</f>
        <v>-0.38169230769230772</v>
      </c>
      <c r="O132" s="14"/>
      <c r="P132" s="1">
        <f>SUM(OSRRefP22_21x_0)</f>
        <v>10658.86</v>
      </c>
      <c r="Q132" s="1"/>
      <c r="R132" s="5">
        <f t="shared" ref="R132:R134" si="106">IF(P$12=0,0,P132/P$12)</f>
        <v>2.9113576585836922E-3</v>
      </c>
      <c r="S132" s="1"/>
      <c r="T132" s="1">
        <f>SUM(OSRRefT22_21x_0)</f>
        <v>10910</v>
      </c>
      <c r="U132" s="1"/>
      <c r="V132" s="5">
        <f t="shared" ref="V132:V134" si="107">IF(T$12=0,0,T132/T$12)</f>
        <v>2.2024048403650139E-3</v>
      </c>
      <c r="W132" s="1"/>
      <c r="X132" s="1">
        <f t="shared" ref="X132:X134" si="108">+P132-T132</f>
        <v>-251.13999999999942</v>
      </c>
      <c r="Y132" s="1"/>
      <c r="Z132" s="5">
        <f t="shared" ref="Z132:Z134" si="109">IF(T132=0,0,X132/T132)</f>
        <v>-2.3019248395966949E-2</v>
      </c>
    </row>
    <row r="133" spans="1:26" s="24" customFormat="1" hidden="1" outlineLevel="2" x14ac:dyDescent="0.3">
      <c r="A133" s="29"/>
      <c r="B133" s="11" t="str">
        <f>CONCATENATE("          ", "6303", " - ", "DATA PHONE LINES")</f>
        <v xml:space="preserve">          6303 - DATA PHONE LINES</v>
      </c>
      <c r="C133" s="11"/>
      <c r="D133" s="6"/>
      <c r="E133" s="2"/>
      <c r="F133" s="7">
        <f t="shared" si="102"/>
        <v>0</v>
      </c>
      <c r="G133" s="2"/>
      <c r="H133" s="6">
        <v>0</v>
      </c>
      <c r="I133" s="2"/>
      <c r="J133" s="7">
        <f t="shared" si="103"/>
        <v>0</v>
      </c>
      <c r="K133" s="2"/>
      <c r="L133" s="6">
        <f t="shared" si="104"/>
        <v>0</v>
      </c>
      <c r="M133" s="2"/>
      <c r="N133" s="7">
        <f t="shared" si="105"/>
        <v>0</v>
      </c>
      <c r="O133" s="11"/>
      <c r="P133" s="6">
        <v>295</v>
      </c>
      <c r="Q133" s="2"/>
      <c r="R133" s="7">
        <f t="shared" si="106"/>
        <v>8.0576206956671644E-5</v>
      </c>
      <c r="S133" s="2"/>
      <c r="T133" s="6">
        <v>0</v>
      </c>
      <c r="U133" s="2"/>
      <c r="V133" s="7">
        <f t="shared" si="107"/>
        <v>0</v>
      </c>
      <c r="W133" s="2"/>
      <c r="X133" s="6">
        <f t="shared" si="108"/>
        <v>295</v>
      </c>
      <c r="Y133" s="2"/>
      <c r="Z133" s="7">
        <f t="shared" si="109"/>
        <v>0</v>
      </c>
    </row>
    <row r="134" spans="1:26" s="24" customFormat="1" hidden="1" outlineLevel="2" x14ac:dyDescent="0.3">
      <c r="A134" s="29"/>
      <c r="B134" s="11" t="str">
        <f>CONCATENATE("          ", "6309", " - ", "TELEPHONE")</f>
        <v xml:space="preserve">          6309 - TELEPHONE</v>
      </c>
      <c r="C134" s="11"/>
      <c r="D134" s="6">
        <v>1165.51</v>
      </c>
      <c r="E134" s="2"/>
      <c r="F134" s="7">
        <f t="shared" si="102"/>
        <v>2.3393347442682471E-3</v>
      </c>
      <c r="G134" s="2"/>
      <c r="H134" s="6">
        <v>1885</v>
      </c>
      <c r="I134" s="2"/>
      <c r="J134" s="7">
        <f t="shared" si="103"/>
        <v>4.5508426905257974E-3</v>
      </c>
      <c r="K134" s="2"/>
      <c r="L134" s="6">
        <f t="shared" si="104"/>
        <v>-719.49</v>
      </c>
      <c r="M134" s="2"/>
      <c r="N134" s="7">
        <f t="shared" si="105"/>
        <v>-0.38169230769230772</v>
      </c>
      <c r="O134" s="11"/>
      <c r="P134" s="6">
        <v>10363.86</v>
      </c>
      <c r="Q134" s="2"/>
      <c r="R134" s="7">
        <f t="shared" si="106"/>
        <v>2.8307814516270206E-3</v>
      </c>
      <c r="S134" s="2"/>
      <c r="T134" s="6">
        <v>10910</v>
      </c>
      <c r="U134" s="2"/>
      <c r="V134" s="7">
        <f t="shared" si="107"/>
        <v>2.2024048403650139E-3</v>
      </c>
      <c r="W134" s="2"/>
      <c r="X134" s="6">
        <f t="shared" si="108"/>
        <v>-546.13999999999942</v>
      </c>
      <c r="Y134" s="2"/>
      <c r="Z134" s="7">
        <f t="shared" si="109"/>
        <v>-5.0058661778185097E-2</v>
      </c>
    </row>
    <row r="135" spans="1:26" s="28" customFormat="1" outlineLevel="1" collapsed="1" x14ac:dyDescent="0.3">
      <c r="A135" s="27"/>
      <c r="B135" s="14" t="str">
        <f>CONCATENATE("     ","Training                                          ")</f>
        <v xml:space="preserve">     Training                                          </v>
      </c>
      <c r="C135" s="14"/>
      <c r="D135" s="1">
        <f>SUM(OSRRefD22_22x_0)</f>
        <v>0</v>
      </c>
      <c r="E135" s="1"/>
      <c r="F135" s="5">
        <f t="shared" ref="F135:F140" si="110">IF(D$12=0,0,D135/D$12)</f>
        <v>0</v>
      </c>
      <c r="G135" s="1"/>
      <c r="H135" s="1">
        <f>SUM(OSRRefH22_22x_0)</f>
        <v>0</v>
      </c>
      <c r="I135" s="1"/>
      <c r="J135" s="5">
        <f t="shared" ref="J135:J140" si="111">IF(H$12=0,0,H135/H$12)</f>
        <v>0</v>
      </c>
      <c r="K135" s="1"/>
      <c r="L135" s="1">
        <f t="shared" ref="L135:L140" si="112">+D135-H135</f>
        <v>0</v>
      </c>
      <c r="M135" s="1"/>
      <c r="N135" s="5">
        <f t="shared" ref="N135:N140" si="113">IF(H135=0,0,L135/H135)</f>
        <v>0</v>
      </c>
      <c r="O135" s="14"/>
      <c r="P135" s="1">
        <f>SUM(OSRRefP22_22x_0)</f>
        <v>595</v>
      </c>
      <c r="Q135" s="1"/>
      <c r="R135" s="5">
        <f t="shared" ref="R135:R140" si="114">IF(P$12=0,0,P135/P$12)</f>
        <v>1.6251811233633775E-4</v>
      </c>
      <c r="S135" s="1"/>
      <c r="T135" s="1">
        <f>SUM(OSRRefT22_22x_0)</f>
        <v>0</v>
      </c>
      <c r="U135" s="1"/>
      <c r="V135" s="5">
        <f t="shared" ref="V135:V140" si="115">IF(T$12=0,0,T135/T$12)</f>
        <v>0</v>
      </c>
      <c r="W135" s="1"/>
      <c r="X135" s="1">
        <f t="shared" ref="X135:X140" si="116">+P135-T135</f>
        <v>595</v>
      </c>
      <c r="Y135" s="1"/>
      <c r="Z135" s="5">
        <f t="shared" ref="Z135:Z140" si="117">IF(T135=0,0,X135/T135)</f>
        <v>0</v>
      </c>
    </row>
    <row r="136" spans="1:26" s="24" customFormat="1" hidden="1" outlineLevel="2" x14ac:dyDescent="0.3">
      <c r="A136" s="29"/>
      <c r="B136" s="11" t="str">
        <f>CONCATENATE("          ", "6376", " - ", "TRAINING")</f>
        <v xml:space="preserve">          6376 - TRAINING</v>
      </c>
      <c r="C136" s="11"/>
      <c r="D136" s="6"/>
      <c r="E136" s="2"/>
      <c r="F136" s="7">
        <f t="shared" si="110"/>
        <v>0</v>
      </c>
      <c r="G136" s="2"/>
      <c r="H136" s="6">
        <v>0</v>
      </c>
      <c r="I136" s="2"/>
      <c r="J136" s="7">
        <f t="shared" si="111"/>
        <v>0</v>
      </c>
      <c r="K136" s="2"/>
      <c r="L136" s="6">
        <f t="shared" si="112"/>
        <v>0</v>
      </c>
      <c r="M136" s="2"/>
      <c r="N136" s="7">
        <f t="shared" si="113"/>
        <v>0</v>
      </c>
      <c r="O136" s="11"/>
      <c r="P136" s="6">
        <v>595</v>
      </c>
      <c r="Q136" s="2"/>
      <c r="R136" s="7">
        <f t="shared" si="114"/>
        <v>1.6251811233633775E-4</v>
      </c>
      <c r="S136" s="2"/>
      <c r="T136" s="6">
        <v>0</v>
      </c>
      <c r="U136" s="2"/>
      <c r="V136" s="7">
        <f t="shared" si="115"/>
        <v>0</v>
      </c>
      <c r="W136" s="2"/>
      <c r="X136" s="6">
        <f t="shared" si="116"/>
        <v>595</v>
      </c>
      <c r="Y136" s="2"/>
      <c r="Z136" s="7">
        <f t="shared" si="117"/>
        <v>0</v>
      </c>
    </row>
    <row r="137" spans="1:26" s="28" customFormat="1" outlineLevel="1" collapsed="1" x14ac:dyDescent="0.3">
      <c r="A137" s="27"/>
      <c r="B137" s="14" t="str">
        <f>CONCATENATE("     ","Travel                                            ")</f>
        <v xml:space="preserve">     Travel                                            </v>
      </c>
      <c r="C137" s="14"/>
      <c r="D137" s="1">
        <f>SUM(OSRRefD22_23x_0)</f>
        <v>24.4</v>
      </c>
      <c r="E137" s="1"/>
      <c r="F137" s="5">
        <f t="shared" si="110"/>
        <v>4.8974069514757681E-5</v>
      </c>
      <c r="G137" s="1"/>
      <c r="H137" s="1">
        <f>SUM(OSRRefH22_23x_0)</f>
        <v>350</v>
      </c>
      <c r="I137" s="1"/>
      <c r="J137" s="5">
        <f t="shared" si="111"/>
        <v>8.4498405394378196E-4</v>
      </c>
      <c r="K137" s="1"/>
      <c r="L137" s="1">
        <f t="shared" si="112"/>
        <v>-325.60000000000002</v>
      </c>
      <c r="M137" s="1"/>
      <c r="N137" s="5">
        <f t="shared" si="113"/>
        <v>-0.93028571428571438</v>
      </c>
      <c r="O137" s="14"/>
      <c r="P137" s="1">
        <f>SUM(OSRRefP22_23x_0)</f>
        <v>882.0100000000001</v>
      </c>
      <c r="Q137" s="1"/>
      <c r="R137" s="5">
        <f t="shared" si="114"/>
        <v>2.4091193321306432E-4</v>
      </c>
      <c r="S137" s="1"/>
      <c r="T137" s="1">
        <f>SUM(OSRRefT22_23x_0)</f>
        <v>1300</v>
      </c>
      <c r="U137" s="1"/>
      <c r="V137" s="5">
        <f t="shared" si="115"/>
        <v>2.6243137419564786E-4</v>
      </c>
      <c r="W137" s="1"/>
      <c r="X137" s="1">
        <f t="shared" si="116"/>
        <v>-417.9899999999999</v>
      </c>
      <c r="Y137" s="1"/>
      <c r="Z137" s="5">
        <f t="shared" si="117"/>
        <v>-0.32153076923076918</v>
      </c>
    </row>
    <row r="138" spans="1:26" s="24" customFormat="1" hidden="1" outlineLevel="2" x14ac:dyDescent="0.3">
      <c r="A138" s="29"/>
      <c r="B138" s="11" t="str">
        <f>CONCATENATE("          ", "6292", " - ", "TRAVEL/CONFERENCE")</f>
        <v xml:space="preserve">          6292 - TRAVEL/CONFERENCE</v>
      </c>
      <c r="C138" s="11"/>
      <c r="D138" s="6"/>
      <c r="E138" s="2"/>
      <c r="F138" s="7">
        <f t="shared" si="110"/>
        <v>0</v>
      </c>
      <c r="G138" s="2"/>
      <c r="H138" s="6">
        <v>125</v>
      </c>
      <c r="I138" s="2"/>
      <c r="J138" s="7">
        <f t="shared" si="111"/>
        <v>3.0178001926563642E-4</v>
      </c>
      <c r="K138" s="2"/>
      <c r="L138" s="6">
        <f t="shared" si="112"/>
        <v>-125</v>
      </c>
      <c r="M138" s="2"/>
      <c r="N138" s="7">
        <f t="shared" si="113"/>
        <v>-1</v>
      </c>
      <c r="O138" s="11"/>
      <c r="P138" s="6">
        <v>495</v>
      </c>
      <c r="Q138" s="2"/>
      <c r="R138" s="7">
        <f t="shared" si="114"/>
        <v>1.3520414387644905E-4</v>
      </c>
      <c r="S138" s="2"/>
      <c r="T138" s="6">
        <v>750</v>
      </c>
      <c r="U138" s="2"/>
      <c r="V138" s="7">
        <f t="shared" si="115"/>
        <v>1.5140271588210452E-4</v>
      </c>
      <c r="W138" s="2"/>
      <c r="X138" s="6">
        <f t="shared" si="116"/>
        <v>-255</v>
      </c>
      <c r="Y138" s="2"/>
      <c r="Z138" s="7">
        <f t="shared" si="117"/>
        <v>-0.34</v>
      </c>
    </row>
    <row r="139" spans="1:26" s="24" customFormat="1" hidden="1" outlineLevel="2" x14ac:dyDescent="0.3">
      <c r="A139" s="29"/>
      <c r="B139" s="11" t="str">
        <f>CONCATENATE("          ", "6294", " - ", "TRAVEL OPERATIONAL")</f>
        <v xml:space="preserve">          6294 - TRAVEL OPERATIONAL</v>
      </c>
      <c r="C139" s="11"/>
      <c r="D139" s="6">
        <v>24.4</v>
      </c>
      <c r="E139" s="2"/>
      <c r="F139" s="7">
        <f t="shared" si="110"/>
        <v>4.8974069514757681E-5</v>
      </c>
      <c r="G139" s="2"/>
      <c r="H139" s="6">
        <v>25</v>
      </c>
      <c r="I139" s="2"/>
      <c r="J139" s="7">
        <f t="shared" si="111"/>
        <v>6.0356003853127286E-5</v>
      </c>
      <c r="K139" s="2"/>
      <c r="L139" s="6">
        <f t="shared" si="112"/>
        <v>-0.60000000000000142</v>
      </c>
      <c r="M139" s="2"/>
      <c r="N139" s="7">
        <f t="shared" si="113"/>
        <v>-2.4000000000000056E-2</v>
      </c>
      <c r="O139" s="11"/>
      <c r="P139" s="6">
        <v>239.93</v>
      </c>
      <c r="Q139" s="2"/>
      <c r="R139" s="7">
        <f t="shared" si="114"/>
        <v>6.5534404525810947E-5</v>
      </c>
      <c r="S139" s="2"/>
      <c r="T139" s="6">
        <v>150</v>
      </c>
      <c r="U139" s="2"/>
      <c r="V139" s="7">
        <f t="shared" si="115"/>
        <v>3.0280543176420903E-5</v>
      </c>
      <c r="W139" s="2"/>
      <c r="X139" s="6">
        <f t="shared" si="116"/>
        <v>89.93</v>
      </c>
      <c r="Y139" s="2"/>
      <c r="Z139" s="7">
        <f t="shared" si="117"/>
        <v>0.59953333333333336</v>
      </c>
    </row>
    <row r="140" spans="1:26" s="24" customFormat="1" hidden="1" outlineLevel="2" x14ac:dyDescent="0.3">
      <c r="A140" s="29"/>
      <c r="B140" s="11" t="str">
        <f>CONCATENATE("          ", "6298", " - ", "VEHICLE MILEAGE")</f>
        <v xml:space="preserve">          6298 - VEHICLE MILEAGE</v>
      </c>
      <c r="C140" s="11"/>
      <c r="D140" s="6"/>
      <c r="E140" s="2"/>
      <c r="F140" s="7">
        <f t="shared" si="110"/>
        <v>0</v>
      </c>
      <c r="G140" s="2"/>
      <c r="H140" s="6">
        <v>200</v>
      </c>
      <c r="I140" s="2"/>
      <c r="J140" s="7">
        <f t="shared" si="111"/>
        <v>4.8284803082501829E-4</v>
      </c>
      <c r="K140" s="2"/>
      <c r="L140" s="6">
        <f t="shared" si="112"/>
        <v>-200</v>
      </c>
      <c r="M140" s="2"/>
      <c r="N140" s="7">
        <f t="shared" si="113"/>
        <v>-1</v>
      </c>
      <c r="O140" s="11"/>
      <c r="P140" s="6">
        <v>147.08000000000001</v>
      </c>
      <c r="Q140" s="2"/>
      <c r="R140" s="7">
        <f t="shared" si="114"/>
        <v>4.0173384810804298E-5</v>
      </c>
      <c r="S140" s="2"/>
      <c r="T140" s="6">
        <v>400</v>
      </c>
      <c r="U140" s="2"/>
      <c r="V140" s="7">
        <f t="shared" si="115"/>
        <v>8.0748115137122418E-5</v>
      </c>
      <c r="W140" s="2"/>
      <c r="X140" s="6">
        <f t="shared" si="116"/>
        <v>-252.92</v>
      </c>
      <c r="Y140" s="2"/>
      <c r="Z140" s="7">
        <f t="shared" si="117"/>
        <v>-0.63229999999999997</v>
      </c>
    </row>
    <row r="141" spans="1:26" s="28" customFormat="1" outlineLevel="1" collapsed="1" x14ac:dyDescent="0.3">
      <c r="A141" s="27"/>
      <c r="B141" s="14" t="str">
        <f>CONCATENATE("     ","Utilities                                         ")</f>
        <v xml:space="preserve">     Utilities                                         </v>
      </c>
      <c r="C141" s="14"/>
      <c r="D141" s="1">
        <f>SUM(OSRRefD22_24x_0)</f>
        <v>62.92</v>
      </c>
      <c r="E141" s="1"/>
      <c r="F141" s="5">
        <f t="shared" ref="F141:F142" si="118">IF(D$12=0,0,D141/D$12)</f>
        <v>1.2628887106018663E-4</v>
      </c>
      <c r="G141" s="1"/>
      <c r="H141" s="1">
        <f>SUM(OSRRefH22_24x_0)</f>
        <v>6120</v>
      </c>
      <c r="I141" s="1"/>
      <c r="J141" s="5">
        <f t="shared" ref="J141:J142" si="119">IF(H$12=0,0,H141/H$12)</f>
        <v>1.477514974324556E-2</v>
      </c>
      <c r="K141" s="1"/>
      <c r="L141" s="1">
        <f t="shared" ref="L141:L142" si="120">+D141-H141</f>
        <v>-6057.08</v>
      </c>
      <c r="M141" s="1"/>
      <c r="N141" s="5">
        <f t="shared" ref="N141:N142" si="121">IF(H141=0,0,L141/H141)</f>
        <v>-0.98971895424836598</v>
      </c>
      <c r="O141" s="14"/>
      <c r="P141" s="1">
        <f>SUM(OSRRefP22_24x_0)</f>
        <v>30246.51</v>
      </c>
      <c r="Q141" s="1"/>
      <c r="R141" s="5">
        <f t="shared" ref="R141:R142" si="122">IF(P$12=0,0,P141/P$12)</f>
        <v>8.2615222016170792E-3</v>
      </c>
      <c r="S141" s="1"/>
      <c r="T141" s="1">
        <f>SUM(OSRRefT22_24x_0)</f>
        <v>36720</v>
      </c>
      <c r="U141" s="1"/>
      <c r="V141" s="5">
        <f t="shared" ref="V141:V142" si="123">IF(T$12=0,0,T141/T$12)</f>
        <v>7.4126769695878371E-3</v>
      </c>
      <c r="W141" s="1"/>
      <c r="X141" s="1">
        <f t="shared" ref="X141:X142" si="124">+P141-T141</f>
        <v>-6473.4900000000016</v>
      </c>
      <c r="Y141" s="1"/>
      <c r="Z141" s="5">
        <f t="shared" ref="Z141:Z142" si="125">IF(T141=0,0,X141/T141)</f>
        <v>-0.1762933006535948</v>
      </c>
    </row>
    <row r="142" spans="1:26" s="24" customFormat="1" hidden="1" outlineLevel="2" x14ac:dyDescent="0.3">
      <c r="A142" s="29"/>
      <c r="B142" s="11" t="str">
        <f>CONCATENATE("          ", "6274", " - ", "UTILITIES")</f>
        <v xml:space="preserve">          6274 - UTILITIES</v>
      </c>
      <c r="C142" s="11"/>
      <c r="D142" s="6">
        <v>62.92</v>
      </c>
      <c r="E142" s="2"/>
      <c r="F142" s="7">
        <f t="shared" si="118"/>
        <v>1.2628887106018663E-4</v>
      </c>
      <c r="G142" s="2"/>
      <c r="H142" s="6">
        <v>6120</v>
      </c>
      <c r="I142" s="2"/>
      <c r="J142" s="7">
        <f t="shared" si="119"/>
        <v>1.477514974324556E-2</v>
      </c>
      <c r="K142" s="2"/>
      <c r="L142" s="6">
        <f t="shared" si="120"/>
        <v>-6057.08</v>
      </c>
      <c r="M142" s="2"/>
      <c r="N142" s="7">
        <f t="shared" si="121"/>
        <v>-0.98971895424836598</v>
      </c>
      <c r="O142" s="11"/>
      <c r="P142" s="6">
        <v>30246.51</v>
      </c>
      <c r="Q142" s="2"/>
      <c r="R142" s="7">
        <f t="shared" si="122"/>
        <v>8.2615222016170792E-3</v>
      </c>
      <c r="S142" s="2"/>
      <c r="T142" s="6">
        <v>36720</v>
      </c>
      <c r="U142" s="2"/>
      <c r="V142" s="7">
        <f t="shared" si="123"/>
        <v>7.4126769695878371E-3</v>
      </c>
      <c r="W142" s="2"/>
      <c r="X142" s="6">
        <f t="shared" si="124"/>
        <v>-6473.4900000000016</v>
      </c>
      <c r="Y142" s="2"/>
      <c r="Z142" s="7">
        <f t="shared" si="125"/>
        <v>-0.1762933006535948</v>
      </c>
    </row>
    <row r="143" spans="1:26" s="55" customFormat="1" x14ac:dyDescent="0.3">
      <c r="A143" s="36"/>
      <c r="B143" s="36"/>
      <c r="C143" s="36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6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collapsed="1" x14ac:dyDescent="0.3">
      <c r="A144" s="10"/>
      <c r="B144" s="25" t="s">
        <v>293</v>
      </c>
      <c r="C144" s="10"/>
      <c r="D144" s="4">
        <f>SUM(OSRRefD25x_0)</f>
        <v>13670.93</v>
      </c>
      <c r="E144" s="4"/>
      <c r="F144" s="12">
        <f t="shared" ref="F144:F149" si="126">IF(D$12=0,0,D144/D$12)</f>
        <v>2.7439388366860093E-2</v>
      </c>
      <c r="G144" s="4"/>
      <c r="H144" s="4">
        <f>SUM(OSRRefH25x_0)</f>
        <v>65715</v>
      </c>
      <c r="I144" s="4"/>
      <c r="J144" s="12">
        <f t="shared" ref="J144:J149" si="127">IF(H$12=0,0,H144/H$12)</f>
        <v>0.15865179172833038</v>
      </c>
      <c r="K144" s="4"/>
      <c r="L144" s="4">
        <f t="shared" ref="L144:L149" si="128">+D144-H144</f>
        <v>-52044.07</v>
      </c>
      <c r="M144" s="4"/>
      <c r="N144" s="12">
        <f t="shared" ref="N144:N149" si="129">IF(H144=0,0,L144/H144)</f>
        <v>-0.79196636993076164</v>
      </c>
      <c r="O144" s="10"/>
      <c r="P144" s="4">
        <f>SUM(OSRRefP25x_0)</f>
        <v>469908.72</v>
      </c>
      <c r="Q144" s="4"/>
      <c r="R144" s="12">
        <f t="shared" ref="R144:R149" si="130">IF(P$12=0,0,P144/P$12)</f>
        <v>0.12835071957106667</v>
      </c>
      <c r="S144" s="4"/>
      <c r="T144" s="4">
        <f>SUM(OSRRefT25x_0)</f>
        <v>402253.5</v>
      </c>
      <c r="U144" s="4"/>
      <c r="V144" s="12">
        <f t="shared" ref="V144:V149" si="131">IF(T$12=0,0,T144/T$12)</f>
        <v>8.120302983077618E-2</v>
      </c>
      <c r="W144" s="4"/>
      <c r="X144" s="4">
        <f t="shared" ref="X144:X149" si="132">+P144-T144</f>
        <v>67655.219999999972</v>
      </c>
      <c r="Y144" s="4"/>
      <c r="Z144" s="12">
        <f t="shared" ref="Z144:Z149" si="133">IF(T144=0,0,X144/T144)</f>
        <v>0.16819050673269462</v>
      </c>
    </row>
    <row r="145" spans="1:26" s="24" customFormat="1" hidden="1" outlineLevel="1" x14ac:dyDescent="0.3">
      <c r="A145" s="44"/>
      <c r="B145" s="11" t="str">
        <f>CONCATENATE("          ", "9150", " - ", "MISC. INCOME")</f>
        <v xml:space="preserve">          9150 - MISC. INCOME</v>
      </c>
      <c r="C145" s="11"/>
      <c r="D145" s="2">
        <f>--12739.24</f>
        <v>12739.24</v>
      </c>
      <c r="E145" s="2"/>
      <c r="F145" s="19">
        <f t="shared" si="126"/>
        <v>2.5569361693654986E-2</v>
      </c>
      <c r="G145" s="2"/>
      <c r="H145" s="2">
        <v>7382</v>
      </c>
      <c r="I145" s="2"/>
      <c r="J145" s="19">
        <f t="shared" si="127"/>
        <v>1.7821920817751424E-2</v>
      </c>
      <c r="K145" s="2"/>
      <c r="L145" s="2">
        <f t="shared" si="128"/>
        <v>5357.24</v>
      </c>
      <c r="M145" s="2"/>
      <c r="N145" s="19">
        <f t="shared" si="129"/>
        <v>0.725716607965321</v>
      </c>
      <c r="O145" s="11"/>
      <c r="P145" s="2">
        <f>--225570.06</f>
        <v>225570.06</v>
      </c>
      <c r="Q145" s="2"/>
      <c r="R145" s="19">
        <f t="shared" si="130"/>
        <v>6.1612135043352001E-2</v>
      </c>
      <c r="S145" s="2"/>
      <c r="T145" s="2">
        <v>95940</v>
      </c>
      <c r="U145" s="2"/>
      <c r="V145" s="19">
        <f t="shared" si="131"/>
        <v>1.936743541563881E-2</v>
      </c>
      <c r="W145" s="2"/>
      <c r="X145" s="2">
        <f t="shared" si="132"/>
        <v>129630.06</v>
      </c>
      <c r="Y145" s="2"/>
      <c r="Z145" s="19">
        <f t="shared" si="133"/>
        <v>1.3511575984990618</v>
      </c>
    </row>
    <row r="146" spans="1:26" s="24" customFormat="1" hidden="1" outlineLevel="1" x14ac:dyDescent="0.3">
      <c r="A146" s="44"/>
      <c r="B146" s="11" t="str">
        <f>CONCATENATE("          ", "9151", " - ", "MISC. INCOME")</f>
        <v xml:space="preserve">          9151 - MISC. INCOME</v>
      </c>
      <c r="C146" s="11"/>
      <c r="D146" s="2">
        <f>0</f>
        <v>0</v>
      </c>
      <c r="E146" s="2"/>
      <c r="F146" s="19">
        <f t="shared" si="126"/>
        <v>0</v>
      </c>
      <c r="G146" s="2"/>
      <c r="H146" s="2"/>
      <c r="I146" s="2"/>
      <c r="J146" s="19">
        <f t="shared" si="127"/>
        <v>0</v>
      </c>
      <c r="K146" s="2"/>
      <c r="L146" s="2">
        <f t="shared" si="128"/>
        <v>0</v>
      </c>
      <c r="M146" s="2"/>
      <c r="N146" s="19">
        <f t="shared" si="129"/>
        <v>0</v>
      </c>
      <c r="O146" s="11"/>
      <c r="P146" s="2">
        <f>--168463.36</f>
        <v>168463.35999999999</v>
      </c>
      <c r="Q146" s="2"/>
      <c r="R146" s="19">
        <f t="shared" si="130"/>
        <v>4.601402901686874E-2</v>
      </c>
      <c r="S146" s="2"/>
      <c r="T146" s="2">
        <v>247980.5</v>
      </c>
      <c r="U146" s="2"/>
      <c r="V146" s="19">
        <f t="shared" si="131"/>
        <v>5.0059894914402964E-2</v>
      </c>
      <c r="W146" s="2"/>
      <c r="X146" s="2">
        <f t="shared" si="132"/>
        <v>-79517.140000000014</v>
      </c>
      <c r="Y146" s="2"/>
      <c r="Z146" s="19">
        <f t="shared" si="133"/>
        <v>-0.32065884212669954</v>
      </c>
    </row>
    <row r="147" spans="1:26" s="24" customFormat="1" hidden="1" outlineLevel="1" x14ac:dyDescent="0.3">
      <c r="A147" s="44"/>
      <c r="B147" s="11" t="str">
        <f>CONCATENATE("          ", "9152", " - ", "MISC. INCOME")</f>
        <v xml:space="preserve">          9152 - MISC. INCOME</v>
      </c>
      <c r="C147" s="11"/>
      <c r="D147" s="2">
        <f>--931.69</f>
        <v>931.69</v>
      </c>
      <c r="E147" s="2"/>
      <c r="F147" s="19">
        <f t="shared" si="126"/>
        <v>1.8700266732051061E-3</v>
      </c>
      <c r="G147" s="2"/>
      <c r="H147" s="2"/>
      <c r="I147" s="2"/>
      <c r="J147" s="19">
        <f t="shared" si="127"/>
        <v>0</v>
      </c>
      <c r="K147" s="2"/>
      <c r="L147" s="2">
        <f t="shared" si="128"/>
        <v>931.69</v>
      </c>
      <c r="M147" s="2"/>
      <c r="N147" s="19">
        <f t="shared" si="129"/>
        <v>0</v>
      </c>
      <c r="O147" s="11"/>
      <c r="P147" s="2">
        <f>--3127.1</f>
        <v>3127.1</v>
      </c>
      <c r="Q147" s="2"/>
      <c r="R147" s="19">
        <f t="shared" si="130"/>
        <v>8.5413510770917936E-4</v>
      </c>
      <c r="S147" s="2"/>
      <c r="T147" s="2"/>
      <c r="U147" s="2"/>
      <c r="V147" s="19">
        <f t="shared" si="131"/>
        <v>0</v>
      </c>
      <c r="W147" s="2"/>
      <c r="X147" s="2">
        <f t="shared" si="132"/>
        <v>3127.1</v>
      </c>
      <c r="Y147" s="2"/>
      <c r="Z147" s="19">
        <f t="shared" si="133"/>
        <v>0</v>
      </c>
    </row>
    <row r="148" spans="1:26" s="24" customFormat="1" hidden="1" outlineLevel="1" x14ac:dyDescent="0.3">
      <c r="A148" s="44"/>
      <c r="B148" s="11" t="str">
        <f>CONCATENATE("          ", "9160", " - ", "MISC. INCOME")</f>
        <v xml:space="preserve">          9160 - MISC. INCOME</v>
      </c>
      <c r="C148" s="11"/>
      <c r="D148" s="2">
        <f t="shared" ref="D148:D149" si="134">0</f>
        <v>0</v>
      </c>
      <c r="E148" s="2"/>
      <c r="F148" s="19">
        <f t="shared" si="126"/>
        <v>0</v>
      </c>
      <c r="G148" s="2"/>
      <c r="H148" s="2">
        <v>58333</v>
      </c>
      <c r="I148" s="2"/>
      <c r="J148" s="19">
        <f t="shared" si="127"/>
        <v>0.14082987091057897</v>
      </c>
      <c r="K148" s="2"/>
      <c r="L148" s="2">
        <f t="shared" si="128"/>
        <v>-58333</v>
      </c>
      <c r="M148" s="2"/>
      <c r="N148" s="19">
        <f t="shared" si="129"/>
        <v>-1</v>
      </c>
      <c r="O148" s="11"/>
      <c r="P148" s="2">
        <f>0</f>
        <v>0</v>
      </c>
      <c r="Q148" s="2"/>
      <c r="R148" s="19">
        <f t="shared" si="130"/>
        <v>0</v>
      </c>
      <c r="S148" s="2"/>
      <c r="T148" s="2">
        <v>58333</v>
      </c>
      <c r="U148" s="2"/>
      <c r="V148" s="19">
        <f t="shared" si="131"/>
        <v>1.1775699500734404E-2</v>
      </c>
      <c r="W148" s="2"/>
      <c r="X148" s="2">
        <f t="shared" si="132"/>
        <v>-58333</v>
      </c>
      <c r="Y148" s="2"/>
      <c r="Z148" s="19">
        <f t="shared" si="133"/>
        <v>-1</v>
      </c>
    </row>
    <row r="149" spans="1:26" s="24" customFormat="1" hidden="1" outlineLevel="1" x14ac:dyDescent="0.3">
      <c r="A149" s="44"/>
      <c r="B149" s="11" t="str">
        <f>CONCATENATE("          ", "9163", " - ", "MISC. INCOME")</f>
        <v xml:space="preserve">          9163 - MISC. INCOME</v>
      </c>
      <c r="C149" s="11"/>
      <c r="D149" s="2">
        <f t="shared" si="134"/>
        <v>0</v>
      </c>
      <c r="E149" s="2"/>
      <c r="F149" s="19">
        <f t="shared" si="126"/>
        <v>0</v>
      </c>
      <c r="G149" s="2"/>
      <c r="H149" s="2"/>
      <c r="I149" s="2"/>
      <c r="J149" s="19">
        <f t="shared" si="127"/>
        <v>0</v>
      </c>
      <c r="K149" s="2"/>
      <c r="L149" s="2">
        <f t="shared" si="128"/>
        <v>0</v>
      </c>
      <c r="M149" s="2"/>
      <c r="N149" s="19">
        <f t="shared" si="129"/>
        <v>0</v>
      </c>
      <c r="O149" s="11"/>
      <c r="P149" s="2">
        <f>--72748.2</f>
        <v>72748.2</v>
      </c>
      <c r="Q149" s="2"/>
      <c r="R149" s="19">
        <f t="shared" si="130"/>
        <v>1.9870420403136746E-2</v>
      </c>
      <c r="S149" s="2"/>
      <c r="T149" s="2"/>
      <c r="U149" s="2"/>
      <c r="V149" s="19">
        <f t="shared" si="131"/>
        <v>0</v>
      </c>
      <c r="W149" s="2"/>
      <c r="X149" s="2">
        <f t="shared" si="132"/>
        <v>72748.2</v>
      </c>
      <c r="Y149" s="2"/>
      <c r="Z149" s="19">
        <f t="shared" si="133"/>
        <v>0</v>
      </c>
    </row>
    <row r="150" spans="1:26" x14ac:dyDescent="0.3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3">
      <c r="A151" s="10"/>
      <c r="B151" s="26" t="s">
        <v>277</v>
      </c>
      <c r="C151" s="26"/>
      <c r="D151" s="20">
        <f>+D50-D52+D144</f>
        <v>-22541.029999999904</v>
      </c>
      <c r="E151" s="13"/>
      <c r="F151" s="22">
        <f>IF(D$12=0,0,D151/D$12)</f>
        <v>-4.5242867629271877E-2</v>
      </c>
      <c r="G151" s="13"/>
      <c r="H151" s="20">
        <f>+H50-H52+H144</f>
        <v>-28589.77469460509</v>
      </c>
      <c r="I151" s="13"/>
      <c r="J151" s="22">
        <f>IF(H$12=0,0,H151/H$12)</f>
        <v>-6.9022582065105031E-2</v>
      </c>
      <c r="K151" s="16"/>
      <c r="L151" s="20">
        <f>+D151-H151</f>
        <v>6048.7446946051859</v>
      </c>
      <c r="M151" s="16"/>
      <c r="N151" s="22">
        <f>IF(H151=0,0,L151/H151)</f>
        <v>-0.21157021205020507</v>
      </c>
      <c r="O151" s="25"/>
      <c r="P151" s="20">
        <f>+P50-P52+P144</f>
        <v>51440.409999999683</v>
      </c>
      <c r="Q151" s="13"/>
      <c r="R151" s="22">
        <f>IF(P$12=0,0,P151/P$12)</f>
        <v>1.4050417363037344E-2</v>
      </c>
      <c r="S151" s="13"/>
      <c r="T151" s="20">
        <f>+T50-T52+T144</f>
        <v>236960.92544987472</v>
      </c>
      <c r="U151" s="13"/>
      <c r="V151" s="22">
        <f>IF(T$12=0,0,T151/T$12)</f>
        <v>4.783537022806391E-2</v>
      </c>
      <c r="W151" s="16"/>
      <c r="X151" s="20">
        <f>+P151-T151</f>
        <v>-185520.51544987503</v>
      </c>
      <c r="Y151" s="16"/>
      <c r="Z151" s="22">
        <f>IF(T151=0,0,X151/T151)</f>
        <v>-0.7829160655819557</v>
      </c>
    </row>
    <row r="152" spans="1:26" x14ac:dyDescent="0.3">
      <c r="A152" s="9"/>
      <c r="B152" s="10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3">
      <c r="A153" s="52"/>
      <c r="B153" s="10" t="s">
        <v>128</v>
      </c>
      <c r="C153" s="10"/>
      <c r="D153" s="4">
        <v>63953.79</v>
      </c>
      <c r="E153" s="4"/>
      <c r="F153" s="12">
        <f>IF(D$12=0,0,D153/D$12)</f>
        <v>0.12836382611443503</v>
      </c>
      <c r="G153" s="4"/>
      <c r="H153" s="4">
        <v>73868</v>
      </c>
      <c r="I153" s="4"/>
      <c r="J153" s="12">
        <f>IF(H$12=0,0,H153/H$12)</f>
        <v>0.17833509170491224</v>
      </c>
      <c r="K153" s="4"/>
      <c r="L153" s="4">
        <f>+D153-H153</f>
        <v>-9914.2099999999991</v>
      </c>
      <c r="M153" s="4"/>
      <c r="N153" s="12">
        <f>IF(H153=0,0,L153/H153)</f>
        <v>-0.13421522174689987</v>
      </c>
      <c r="O153" s="10"/>
      <c r="P153" s="4">
        <v>440693.2</v>
      </c>
      <c r="Q153" s="4"/>
      <c r="R153" s="12">
        <f>IF(P$12=0,0,P153/P$12)</f>
        <v>0.12037080165287421</v>
      </c>
      <c r="S153" s="4"/>
      <c r="T153" s="4">
        <v>641359</v>
      </c>
      <c r="U153" s="4"/>
      <c r="V153" s="12">
        <f>IF(T$12=0,0,T153/T$12)</f>
        <v>0.12947132594057423</v>
      </c>
      <c r="W153" s="4"/>
      <c r="X153" s="4">
        <f>+P153-T153</f>
        <v>-200665.8</v>
      </c>
      <c r="Y153" s="4"/>
      <c r="Z153" s="12">
        <f>IF(T153=0,0,X153/T153)</f>
        <v>-0.31287593999616437</v>
      </c>
    </row>
    <row r="154" spans="1:26" x14ac:dyDescent="0.3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" thickBot="1" x14ac:dyDescent="0.35">
      <c r="A155" s="10"/>
      <c r="B155" s="26" t="s">
        <v>126</v>
      </c>
      <c r="C155" s="26"/>
      <c r="D155" s="31">
        <f>+D151-D153</f>
        <v>-86494.819999999905</v>
      </c>
      <c r="E155" s="13"/>
      <c r="F155" s="30">
        <f>IF(D$12=0,0,D155/D$12)</f>
        <v>-0.17360669374370691</v>
      </c>
      <c r="G155" s="13"/>
      <c r="H155" s="31">
        <f>+H151-H153</f>
        <v>-102457.77469460509</v>
      </c>
      <c r="I155" s="13"/>
      <c r="J155" s="30">
        <f>IF(H$12=0,0,H155/H$12)</f>
        <v>-0.2473576737700173</v>
      </c>
      <c r="K155" s="16"/>
      <c r="L155" s="31">
        <f>D155-H155</f>
        <v>15962.954694605185</v>
      </c>
      <c r="M155" s="16"/>
      <c r="N155" s="30">
        <f>IF(H155=0,0,L155/H155)</f>
        <v>-0.15580032596048285</v>
      </c>
      <c r="O155" s="25"/>
      <c r="P155" s="31">
        <f>+P151-P153</f>
        <v>-389252.79000000033</v>
      </c>
      <c r="Q155" s="13"/>
      <c r="R155" s="30">
        <f>IF(P$12=0,0,P155/P$12)</f>
        <v>-0.10632038428983687</v>
      </c>
      <c r="S155" s="13"/>
      <c r="T155" s="31">
        <f>+T151-T153</f>
        <v>-404398.07455012528</v>
      </c>
      <c r="U155" s="13"/>
      <c r="V155" s="30">
        <f>IF(T$12=0,0,T155/T$12)</f>
        <v>-8.1635955712510325E-2</v>
      </c>
      <c r="W155" s="16"/>
      <c r="X155" s="31">
        <f>P155-T155</f>
        <v>15145.284550124954</v>
      </c>
      <c r="Y155" s="16"/>
      <c r="Z155" s="30">
        <f>IF(T155=0,0,X155/T155)</f>
        <v>-3.7451425966786328E-2</v>
      </c>
    </row>
    <row r="156" spans="1:26" ht="15" thickTop="1" x14ac:dyDescent="0.3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x14ac:dyDescent="0.3">
      <c r="A157" s="9"/>
      <c r="B157" s="9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ht="15" thickBot="1" x14ac:dyDescent="0.35">
      <c r="A158" s="10"/>
      <c r="B158" s="26" t="s">
        <v>294</v>
      </c>
      <c r="C158" s="26"/>
      <c r="D158" s="35">
        <f>SUM(D155:D157)</f>
        <v>-86494.819999999905</v>
      </c>
      <c r="E158" s="13"/>
      <c r="F158" s="34">
        <f>IF(D$12=0,0,D158/D$12)</f>
        <v>-0.17360669374370691</v>
      </c>
      <c r="G158" s="13"/>
      <c r="H158" s="35">
        <f>SUM(H155:H157)</f>
        <v>-102457.77469460509</v>
      </c>
      <c r="I158" s="13"/>
      <c r="J158" s="34">
        <f>IF(H$12=0,0,H158/H$12)</f>
        <v>-0.2473576737700173</v>
      </c>
      <c r="K158" s="16"/>
      <c r="L158" s="35">
        <f>+D158-H158</f>
        <v>15962.954694605185</v>
      </c>
      <c r="M158" s="16"/>
      <c r="N158" s="34">
        <f>IF(H158=0,0,L158/H158)</f>
        <v>-0.15580032596048285</v>
      </c>
      <c r="O158" s="25"/>
      <c r="P158" s="35">
        <f>SUM(P155:P157)</f>
        <v>-389252.79000000033</v>
      </c>
      <c r="Q158" s="13"/>
      <c r="R158" s="34">
        <f>IF(P$12=0,0,P158/P$12)</f>
        <v>-0.10632038428983687</v>
      </c>
      <c r="S158" s="13"/>
      <c r="T158" s="35">
        <f>SUM(T155:T157)</f>
        <v>-404398.07455012528</v>
      </c>
      <c r="U158" s="13"/>
      <c r="V158" s="34">
        <f>IF(T$12=0,0,T158/T$12)</f>
        <v>-8.1635955712510325E-2</v>
      </c>
      <c r="W158" s="16"/>
      <c r="X158" s="35">
        <f>+P158-T158</f>
        <v>15145.284550124954</v>
      </c>
      <c r="Y158" s="16"/>
      <c r="Z158" s="34">
        <f>IF(T158=0,0,X158/T158)</f>
        <v>-3.7451425966786328E-2</v>
      </c>
    </row>
    <row r="159" spans="1:26" ht="15" thickTop="1" x14ac:dyDescent="0.3">
      <c r="A159" s="9"/>
      <c r="C159" s="9"/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  <row r="160" spans="1:26" x14ac:dyDescent="0.3">
      <c r="A160" s="9"/>
      <c r="B160" s="61">
        <v>44575.842098414352</v>
      </c>
      <c r="D160" s="18"/>
      <c r="E160" s="18"/>
      <c r="G160" s="18"/>
      <c r="H160" s="18"/>
      <c r="I160" s="18"/>
      <c r="J160" s="43"/>
      <c r="K160" s="18"/>
      <c r="L160" s="18"/>
      <c r="M160" s="18"/>
      <c r="P160" s="18"/>
      <c r="Q160" s="18"/>
      <c r="R160" s="43"/>
      <c r="S160" s="18"/>
      <c r="T160" s="18"/>
      <c r="U160" s="18"/>
      <c r="V160" s="43"/>
      <c r="W160" s="18"/>
      <c r="X160" s="18"/>
    </row>
    <row r="161" spans="1:24" x14ac:dyDescent="0.3">
      <c r="A161" s="9"/>
      <c r="B161" s="62" t="s">
        <v>56</v>
      </c>
      <c r="D161" s="18"/>
      <c r="E161" s="18"/>
      <c r="G161" s="18"/>
      <c r="H161" s="18"/>
      <c r="I161" s="18"/>
      <c r="J161" s="43"/>
      <c r="K161" s="18"/>
      <c r="L161" s="18"/>
      <c r="M161" s="18"/>
      <c r="P161" s="18"/>
      <c r="Q161" s="18"/>
      <c r="R161" s="43"/>
      <c r="S161" s="18"/>
      <c r="T161" s="18"/>
      <c r="U161" s="18"/>
      <c r="V161" s="43"/>
      <c r="W161" s="18"/>
      <c r="X161" s="18"/>
    </row>
    <row r="162" spans="1:24" x14ac:dyDescent="0.3">
      <c r="A162" s="9"/>
      <c r="B162" s="53"/>
      <c r="D162" s="18"/>
      <c r="E162" s="18"/>
      <c r="G162" s="18"/>
      <c r="H162" s="18"/>
      <c r="I162" s="18"/>
      <c r="J162" s="43"/>
      <c r="K162" s="18"/>
      <c r="L162" s="18"/>
      <c r="M162" s="18"/>
      <c r="P162" s="18"/>
      <c r="Q162" s="18"/>
      <c r="R162" s="43"/>
      <c r="S162" s="18"/>
      <c r="T162" s="18"/>
      <c r="U162" s="18"/>
      <c r="V162" s="43"/>
      <c r="W162" s="18"/>
      <c r="X162" s="18"/>
    </row>
    <row r="163" spans="1:24" x14ac:dyDescent="0.3">
      <c r="D163" s="18"/>
      <c r="E163" s="18"/>
      <c r="G163" s="18"/>
      <c r="H163" s="18"/>
      <c r="I163" s="18"/>
      <c r="J163" s="43"/>
      <c r="K163" s="18"/>
      <c r="L163" s="18"/>
      <c r="M163" s="18"/>
      <c r="P163" s="18"/>
      <c r="Q163" s="18"/>
      <c r="R163" s="43"/>
      <c r="S163" s="18"/>
      <c r="T163" s="18"/>
      <c r="U163" s="18"/>
      <c r="V163" s="43"/>
      <c r="W163" s="18"/>
      <c r="X163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313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17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314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631765.17000000004</v>
      </c>
      <c r="E12" s="4"/>
      <c r="F12" s="12"/>
      <c r="G12" s="4"/>
      <c r="H12" s="4">
        <f>SUM(OSRRefH13x_0)</f>
        <v>477582</v>
      </c>
      <c r="I12" s="4"/>
      <c r="J12" s="12"/>
      <c r="K12" s="4"/>
      <c r="L12" s="4">
        <f t="shared" ref="L12:L19" si="0">+D12-H12</f>
        <v>154183.17000000004</v>
      </c>
      <c r="M12" s="4"/>
      <c r="N12" s="12">
        <f t="shared" ref="N12:N19" si="1">IF(H12=0,0,L12/H12)</f>
        <v>0.32284125029837818</v>
      </c>
      <c r="O12" s="10"/>
      <c r="P12" s="4">
        <f>SUM(OSRRefP13x_0)</f>
        <v>4627780.1900000004</v>
      </c>
      <c r="Q12" s="4"/>
      <c r="R12" s="12"/>
      <c r="S12" s="4"/>
      <c r="T12" s="4">
        <f>SUM(OSRRefT13x_0)</f>
        <v>6141214</v>
      </c>
      <c r="U12" s="4"/>
      <c r="V12" s="12"/>
      <c r="W12" s="4"/>
      <c r="X12" s="4">
        <f t="shared" ref="X12:X19" si="2">+P12-T12</f>
        <v>-1513433.8099999996</v>
      </c>
      <c r="Y12" s="4"/>
      <c r="Z12" s="12">
        <f t="shared" ref="Z12:Z19" si="3">IF(T12=0,0,X12/T12)</f>
        <v>-0.24643886534486498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--614967.72</f>
        <v>614967.72</v>
      </c>
      <c r="E13" s="2"/>
      <c r="F13" s="19"/>
      <c r="G13" s="2"/>
      <c r="H13" s="2">
        <v>447812</v>
      </c>
      <c r="I13" s="2"/>
      <c r="J13" s="19"/>
      <c r="K13" s="2"/>
      <c r="L13" s="2">
        <f t="shared" si="0"/>
        <v>167155.71999999997</v>
      </c>
      <c r="M13" s="2"/>
      <c r="N13" s="19">
        <f t="shared" si="1"/>
        <v>0.37327208739381701</v>
      </c>
      <c r="O13" s="11"/>
      <c r="P13" s="2">
        <f>--3931182.46</f>
        <v>3931182.46</v>
      </c>
      <c r="Q13" s="2"/>
      <c r="R13" s="19"/>
      <c r="S13" s="2"/>
      <c r="T13" s="2">
        <v>5918281</v>
      </c>
      <c r="U13" s="2"/>
      <c r="V13" s="19"/>
      <c r="W13" s="2"/>
      <c r="X13" s="2">
        <f t="shared" si="2"/>
        <v>-1987098.54</v>
      </c>
      <c r="Y13" s="2"/>
      <c r="Z13" s="19">
        <f t="shared" si="3"/>
        <v>-0.3357560311854067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--121671.8</f>
        <v>121671.8</v>
      </c>
      <c r="E14" s="2"/>
      <c r="F14" s="19"/>
      <c r="G14" s="2"/>
      <c r="H14" s="2">
        <v>29770</v>
      </c>
      <c r="I14" s="2"/>
      <c r="J14" s="19"/>
      <c r="K14" s="2"/>
      <c r="L14" s="2">
        <f t="shared" si="0"/>
        <v>91901.8</v>
      </c>
      <c r="M14" s="2"/>
      <c r="N14" s="19">
        <f t="shared" si="1"/>
        <v>3.0870607994625461</v>
      </c>
      <c r="O14" s="11"/>
      <c r="P14" s="2">
        <f>--1067366.52</f>
        <v>1067366.52</v>
      </c>
      <c r="Q14" s="2"/>
      <c r="R14" s="19"/>
      <c r="S14" s="2"/>
      <c r="T14" s="2">
        <v>222933</v>
      </c>
      <c r="U14" s="2"/>
      <c r="V14" s="19"/>
      <c r="W14" s="2"/>
      <c r="X14" s="2">
        <f t="shared" si="2"/>
        <v>844433.52</v>
      </c>
      <c r="Y14" s="2"/>
      <c r="Z14" s="19">
        <f t="shared" si="3"/>
        <v>3.7878354483185532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-53893.38</f>
        <v>-53893.38</v>
      </c>
      <c r="E17" s="2"/>
      <c r="F17" s="19"/>
      <c r="G17" s="2"/>
      <c r="H17" s="2"/>
      <c r="I17" s="2"/>
      <c r="J17" s="19"/>
      <c r="K17" s="2"/>
      <c r="L17" s="2">
        <f t="shared" si="0"/>
        <v>-53893.38</v>
      </c>
      <c r="M17" s="2"/>
      <c r="N17" s="19">
        <f t="shared" si="1"/>
        <v>0</v>
      </c>
      <c r="O17" s="11"/>
      <c r="P17" s="2">
        <f>-278401.22</f>
        <v>-278401.21999999997</v>
      </c>
      <c r="Q17" s="2"/>
      <c r="R17" s="19"/>
      <c r="S17" s="2"/>
      <c r="T17" s="2"/>
      <c r="U17" s="2"/>
      <c r="V17" s="19"/>
      <c r="W17" s="2"/>
      <c r="X17" s="2">
        <f t="shared" si="2"/>
        <v>-278401.21999999997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"4300", " - ", "NON-TAX RETURNS")</f>
        <v xml:space="preserve">          4300 - NON-TAX RETURNS</v>
      </c>
      <c r="C18" s="11"/>
      <c r="D18" s="2">
        <f>-678.95</f>
        <v>-678.95</v>
      </c>
      <c r="E18" s="2"/>
      <c r="F18" s="19"/>
      <c r="G18" s="2"/>
      <c r="H18" s="2"/>
      <c r="I18" s="2"/>
      <c r="J18" s="19"/>
      <c r="K18" s="2"/>
      <c r="L18" s="2">
        <f t="shared" si="0"/>
        <v>-678.95</v>
      </c>
      <c r="M18" s="2"/>
      <c r="N18" s="19">
        <f t="shared" si="1"/>
        <v>0</v>
      </c>
      <c r="O18" s="11"/>
      <c r="P18" s="2">
        <f>-27884.13</f>
        <v>-27884.13</v>
      </c>
      <c r="Q18" s="2"/>
      <c r="R18" s="19"/>
      <c r="S18" s="2"/>
      <c r="T18" s="2"/>
      <c r="U18" s="2"/>
      <c r="V18" s="19"/>
      <c r="W18" s="2"/>
      <c r="X18" s="2">
        <f t="shared" si="2"/>
        <v>-27884.13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"4500", " - ", "SALES DISCOUNT")</f>
        <v xml:space="preserve">          4500 - SALES DISCOUNT</v>
      </c>
      <c r="C19" s="11"/>
      <c r="D19" s="2">
        <f>-50302.02</f>
        <v>-50302.02</v>
      </c>
      <c r="E19" s="2"/>
      <c r="F19" s="19"/>
      <c r="G19" s="2"/>
      <c r="H19" s="2"/>
      <c r="I19" s="2"/>
      <c r="J19" s="19"/>
      <c r="K19" s="2"/>
      <c r="L19" s="2">
        <f t="shared" si="0"/>
        <v>-50302.02</v>
      </c>
      <c r="M19" s="2"/>
      <c r="N19" s="19">
        <f t="shared" si="1"/>
        <v>0</v>
      </c>
      <c r="O19" s="11"/>
      <c r="P19" s="2">
        <f>-64483.44</f>
        <v>-64483.44</v>
      </c>
      <c r="Q19" s="2"/>
      <c r="R19" s="19"/>
      <c r="S19" s="2"/>
      <c r="T19" s="2"/>
      <c r="U19" s="2"/>
      <c r="V19" s="19"/>
      <c r="W19" s="2"/>
      <c r="X19" s="2">
        <f t="shared" si="2"/>
        <v>-64483.44</v>
      </c>
      <c r="Y19" s="2"/>
      <c r="Z19" s="19">
        <f t="shared" si="3"/>
        <v>0</v>
      </c>
    </row>
    <row r="20" spans="1:26" x14ac:dyDescent="0.3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3">
      <c r="A21" s="10"/>
      <c r="B21" s="25" t="s">
        <v>257</v>
      </c>
      <c r="C21" s="10"/>
      <c r="D21" s="4">
        <f>SUM(OSRRefD16x_0)</f>
        <v>377927.83999999997</v>
      </c>
      <c r="E21" s="4"/>
      <c r="F21" s="12">
        <f t="shared" ref="F21:F54" si="6">IF(D$12=0,0,D21/D$12)</f>
        <v>0.59820936314042117</v>
      </c>
      <c r="G21" s="4"/>
      <c r="H21" s="4">
        <f>SUM(OSRRefH16x_0)</f>
        <v>269777</v>
      </c>
      <c r="I21" s="4"/>
      <c r="J21" s="12">
        <f t="shared" ref="J21:J54" si="7">IF(H$12=0,0,H21/H$12)</f>
        <v>0.56488100472798386</v>
      </c>
      <c r="K21" s="4"/>
      <c r="L21" s="4">
        <f t="shared" ref="L21:L54" si="8">+D21-H21</f>
        <v>108150.83999999997</v>
      </c>
      <c r="M21" s="4"/>
      <c r="N21" s="12">
        <f t="shared" ref="N21:N54" si="9">IF(H21=0,0,L21/H21)</f>
        <v>0.40088977192273606</v>
      </c>
      <c r="O21" s="10"/>
      <c r="P21" s="4">
        <f>SUM(OSRRefP16x_0)</f>
        <v>3034414.56</v>
      </c>
      <c r="Q21" s="4"/>
      <c r="R21" s="12">
        <f t="shared" ref="R21:R54" si="10">IF(P$12=0,0,P21/P$12)</f>
        <v>0.6556954815090299</v>
      </c>
      <c r="S21" s="4"/>
      <c r="T21" s="4">
        <f>SUM(OSRRefT16x_0)</f>
        <v>4158428</v>
      </c>
      <c r="U21" s="4"/>
      <c r="V21" s="12">
        <f t="shared" ref="V21:V54" si="11">IF(T$12=0,0,T21/T$12)</f>
        <v>0.67713452095953663</v>
      </c>
      <c r="W21" s="4"/>
      <c r="X21" s="4">
        <f t="shared" ref="X21:X54" si="12">+P21-T21</f>
        <v>-1124013.44</v>
      </c>
      <c r="Y21" s="4"/>
      <c r="Z21" s="12">
        <f t="shared" ref="Z21:Z54" si="13">IF(T21=0,0,X21/T21)</f>
        <v>-0.27029767979630764</v>
      </c>
    </row>
    <row r="22" spans="1:26" s="24" customFormat="1" hidden="1" outlineLevel="1" x14ac:dyDescent="0.3">
      <c r="A22" s="44"/>
      <c r="B22" s="11" t="str">
        <f>CONCATENATE("          ", "5000", " - ", "PURCHASES @ COST")</f>
        <v xml:space="preserve">          5000 - PURCHASES @ COST</v>
      </c>
      <c r="C22" s="11"/>
      <c r="D22" s="2">
        <v>467393.3</v>
      </c>
      <c r="E22" s="2"/>
      <c r="F22" s="19">
        <f t="shared" si="6"/>
        <v>0.73982125352051298</v>
      </c>
      <c r="G22" s="2"/>
      <c r="H22" s="2">
        <v>269777</v>
      </c>
      <c r="I22" s="2"/>
      <c r="J22" s="19">
        <f t="shared" si="7"/>
        <v>0.56488100472798386</v>
      </c>
      <c r="K22" s="2"/>
      <c r="L22" s="2">
        <f t="shared" si="8"/>
        <v>197616.3</v>
      </c>
      <c r="M22" s="2"/>
      <c r="N22" s="19">
        <f t="shared" si="9"/>
        <v>0.73251722719134693</v>
      </c>
      <c r="O22" s="11"/>
      <c r="P22" s="2">
        <v>3459162.59</v>
      </c>
      <c r="Q22" s="2"/>
      <c r="R22" s="19">
        <f t="shared" si="10"/>
        <v>0.74747772106263322</v>
      </c>
      <c r="S22" s="2"/>
      <c r="T22" s="2">
        <v>4158428</v>
      </c>
      <c r="U22" s="2"/>
      <c r="V22" s="19">
        <f t="shared" si="11"/>
        <v>0.67713452095953663</v>
      </c>
      <c r="W22" s="2"/>
      <c r="X22" s="2">
        <f t="shared" si="12"/>
        <v>-699265.41000000015</v>
      </c>
      <c r="Y22" s="2"/>
      <c r="Z22" s="19">
        <f t="shared" si="13"/>
        <v>-0.16815619027190085</v>
      </c>
    </row>
    <row r="23" spans="1:26" s="24" customFormat="1" hidden="1" outlineLevel="1" x14ac:dyDescent="0.3">
      <c r="A23" s="44"/>
      <c r="B23" s="11" t="str">
        <f>CONCATENATE("          ", "5001", " - ", "PURCHASES @ COST-NEW TEXT")</f>
        <v xml:space="preserve">          5001 - PURCHASES @ COST-NEW TEXT</v>
      </c>
      <c r="C23" s="11"/>
      <c r="D23" s="2"/>
      <c r="E23" s="2"/>
      <c r="F23" s="19">
        <f t="shared" si="6"/>
        <v>0</v>
      </c>
      <c r="G23" s="2"/>
      <c r="H23" s="2"/>
      <c r="I23" s="2"/>
      <c r="J23" s="19">
        <f t="shared" si="7"/>
        <v>0</v>
      </c>
      <c r="K23" s="2"/>
      <c r="L23" s="2">
        <f t="shared" si="8"/>
        <v>0</v>
      </c>
      <c r="M23" s="2"/>
      <c r="N23" s="19">
        <f t="shared" si="9"/>
        <v>0</v>
      </c>
      <c r="O23" s="11"/>
      <c r="P23" s="2">
        <v>0</v>
      </c>
      <c r="Q23" s="2"/>
      <c r="R23" s="19">
        <f t="shared" si="10"/>
        <v>0</v>
      </c>
      <c r="S23" s="2"/>
      <c r="T23" s="2"/>
      <c r="U23" s="2"/>
      <c r="V23" s="19">
        <f t="shared" si="11"/>
        <v>0</v>
      </c>
      <c r="W23" s="2"/>
      <c r="X23" s="2">
        <f t="shared" si="12"/>
        <v>0</v>
      </c>
      <c r="Y23" s="2"/>
      <c r="Z23" s="19">
        <f t="shared" si="13"/>
        <v>0</v>
      </c>
    </row>
    <row r="24" spans="1:26" s="24" customFormat="1" hidden="1" outlineLevel="1" x14ac:dyDescent="0.3">
      <c r="A24" s="44"/>
      <c r="B24" s="11" t="str">
        <f>CONCATENATE("          ", "5002", " - ", "PURCHASES @ COST-USED TEXT")</f>
        <v xml:space="preserve">          5002 - PURCHASES @ COST-USED TEXT</v>
      </c>
      <c r="C24" s="11"/>
      <c r="D24" s="2"/>
      <c r="E24" s="2"/>
      <c r="F24" s="19">
        <f t="shared" si="6"/>
        <v>0</v>
      </c>
      <c r="G24" s="2"/>
      <c r="H24" s="2"/>
      <c r="I24" s="2"/>
      <c r="J24" s="19">
        <f t="shared" si="7"/>
        <v>0</v>
      </c>
      <c r="K24" s="2"/>
      <c r="L24" s="2">
        <f t="shared" si="8"/>
        <v>0</v>
      </c>
      <c r="M24" s="2"/>
      <c r="N24" s="19">
        <f t="shared" si="9"/>
        <v>0</v>
      </c>
      <c r="O24" s="11"/>
      <c r="P24" s="2">
        <v>0</v>
      </c>
      <c r="Q24" s="2"/>
      <c r="R24" s="19">
        <f t="shared" si="10"/>
        <v>0</v>
      </c>
      <c r="S24" s="2"/>
      <c r="T24" s="2"/>
      <c r="U24" s="2"/>
      <c r="V24" s="19">
        <f t="shared" si="11"/>
        <v>0</v>
      </c>
      <c r="W24" s="2"/>
      <c r="X24" s="2">
        <f t="shared" si="12"/>
        <v>0</v>
      </c>
      <c r="Y24" s="2"/>
      <c r="Z24" s="19">
        <f t="shared" si="13"/>
        <v>0</v>
      </c>
    </row>
    <row r="25" spans="1:26" s="24" customFormat="1" hidden="1" outlineLevel="1" x14ac:dyDescent="0.3">
      <c r="A25" s="44"/>
      <c r="B25" s="11" t="str">
        <f>CONCATENATE("          ", "5004", " - ", "PURCHASES @ COST-DIGITAL TEXT")</f>
        <v xml:space="preserve">          5004 - PURCHASES @ COST-DIGITAL TEXT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0</v>
      </c>
      <c r="Q25" s="2"/>
      <c r="R25" s="19">
        <f t="shared" si="10"/>
        <v>0</v>
      </c>
      <c r="S25" s="2"/>
      <c r="T25" s="2"/>
      <c r="U25" s="2"/>
      <c r="V25" s="19">
        <f t="shared" si="11"/>
        <v>0</v>
      </c>
      <c r="W25" s="2"/>
      <c r="X25" s="2">
        <f t="shared" si="12"/>
        <v>0</v>
      </c>
      <c r="Y25" s="2"/>
      <c r="Z25" s="19">
        <f t="shared" si="13"/>
        <v>0</v>
      </c>
    </row>
    <row r="26" spans="1:26" s="24" customFormat="1" hidden="1" outlineLevel="1" x14ac:dyDescent="0.3">
      <c r="A26" s="44"/>
      <c r="B26" s="11" t="str">
        <f>CONCATENATE("          ", "5026", " - ", "PURCHASES @ COST-WRITING INSTR")</f>
        <v xml:space="preserve">          5026 - PURCHASES @ COST-WRITING INSTR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>
        <v>0</v>
      </c>
      <c r="Q26" s="2"/>
      <c r="R26" s="19">
        <f t="shared" si="10"/>
        <v>0</v>
      </c>
      <c r="S26" s="2"/>
      <c r="T26" s="2"/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"5027", " - ", "PURCHASES @ COST-SCHOOL SUPPLI")</f>
        <v xml:space="preserve">          5027 - PURCHASES @ COST-SCHOOL SUPPLI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"5028", " - ", "PURCHASES @ COST-ART/TECH")</f>
        <v xml:space="preserve">          5028 - PURCHASES @ COST-ART/TECH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"5031", " - ", "PURCHASES @ COST-FOOD")</f>
        <v xml:space="preserve">          5031 - PURCHASES @ COST-FOOD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"5040", " - ", "PURCHASES @ COST-LOGO CLOTHING")</f>
        <v xml:space="preserve">          5040 - PURCHASES @ COST-LOGO CLOTHING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"5041", " - ", "PURCHASES @ COST-LOGO GIFTS")</f>
        <v xml:space="preserve">          5041 - PURCHASES @ COST-LOGO GIFTS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"5043", " - ", "PURCHASES @ COST-CARDS")</f>
        <v xml:space="preserve">          5043 - PURCHASES @ COST-CARDS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"5044", " - ", "PURCHASES @ COST-ACCESSORIES")</f>
        <v xml:space="preserve">          5044 - PURCHASES @ COST-ACCESSORIES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"5045", " - ", "PURCHASES @ COST-SPECIAL ORDER")</f>
        <v xml:space="preserve">          5045 - PURCHASES @ COST-SPECIAL ORDER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"5081", " - ", "PURCHASES @ COST-ELECTRONICS")</f>
        <v xml:space="preserve">          5081 - PURCHASES @ COST-ELECTRONICS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/>
      <c r="U36" s="2"/>
      <c r="V36" s="19">
        <f t="shared" si="11"/>
        <v>0</v>
      </c>
      <c r="W36" s="2"/>
      <c r="X36" s="2">
        <f t="shared" si="12"/>
        <v>0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"5082", " - ", "PURCHASES @ COST-COMPUTER HARD")</f>
        <v xml:space="preserve">          5082 - PURCHASES @ COST-COMPUTER HARD</v>
      </c>
      <c r="C37" s="11"/>
      <c r="D37" s="2">
        <v>-6160.03</v>
      </c>
      <c r="E37" s="2"/>
      <c r="F37" s="19">
        <f t="shared" si="6"/>
        <v>-9.7505058723006202E-3</v>
      </c>
      <c r="G37" s="2"/>
      <c r="H37" s="2"/>
      <c r="I37" s="2"/>
      <c r="J37" s="19">
        <f t="shared" si="7"/>
        <v>0</v>
      </c>
      <c r="K37" s="2"/>
      <c r="L37" s="2">
        <f t="shared" si="8"/>
        <v>-6160.03</v>
      </c>
      <c r="M37" s="2"/>
      <c r="N37" s="19">
        <f t="shared" si="9"/>
        <v>0</v>
      </c>
      <c r="O37" s="11"/>
      <c r="P37" s="2">
        <v>-86869.48</v>
      </c>
      <c r="Q37" s="2"/>
      <c r="R37" s="19">
        <f t="shared" si="10"/>
        <v>-1.8771306421967286E-2</v>
      </c>
      <c r="S37" s="2"/>
      <c r="T37" s="2"/>
      <c r="U37" s="2"/>
      <c r="V37" s="19">
        <f t="shared" si="11"/>
        <v>0</v>
      </c>
      <c r="W37" s="2"/>
      <c r="X37" s="2">
        <f t="shared" si="12"/>
        <v>-86869.48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"5083", " - ", "PURCHASES @ COST-COMPUTER EQUI")</f>
        <v xml:space="preserve">          5083 - PURCHASES @ COST-COMPUTER EQUI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0</v>
      </c>
      <c r="Q38" s="2"/>
      <c r="R38" s="19">
        <f t="shared" si="10"/>
        <v>0</v>
      </c>
      <c r="S38" s="2"/>
      <c r="T38" s="2"/>
      <c r="U38" s="2"/>
      <c r="V38" s="19">
        <f t="shared" si="11"/>
        <v>0</v>
      </c>
      <c r="W38" s="2"/>
      <c r="X38" s="2">
        <f t="shared" si="12"/>
        <v>0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"5085", " - ", "PURCHASES @ COST-SOFTWARE")</f>
        <v xml:space="preserve">          5085 - PURCHASES @ COST-SOFTWARE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0</v>
      </c>
      <c r="Q39" s="2"/>
      <c r="R39" s="19">
        <f t="shared" si="10"/>
        <v>0</v>
      </c>
      <c r="S39" s="2"/>
      <c r="T39" s="2"/>
      <c r="U39" s="2"/>
      <c r="V39" s="19">
        <f t="shared" si="11"/>
        <v>0</v>
      </c>
      <c r="W39" s="2"/>
      <c r="X39" s="2">
        <f t="shared" si="12"/>
        <v>0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/>
      <c r="E40" s="2"/>
      <c r="F40" s="19">
        <f t="shared" si="6"/>
        <v>0</v>
      </c>
      <c r="G40" s="2"/>
      <c r="H40" s="2"/>
      <c r="I40" s="2"/>
      <c r="J40" s="19">
        <f t="shared" si="7"/>
        <v>0</v>
      </c>
      <c r="K40" s="2"/>
      <c r="L40" s="2">
        <f t="shared" si="8"/>
        <v>0</v>
      </c>
      <c r="M40" s="2"/>
      <c r="N40" s="19">
        <f t="shared" si="9"/>
        <v>0</v>
      </c>
      <c r="O40" s="11"/>
      <c r="P40" s="2">
        <v>0</v>
      </c>
      <c r="Q40" s="2"/>
      <c r="R40" s="19">
        <f t="shared" si="10"/>
        <v>0</v>
      </c>
      <c r="S40" s="2"/>
      <c r="T40" s="2"/>
      <c r="U40" s="2"/>
      <c r="V40" s="19">
        <f t="shared" si="11"/>
        <v>0</v>
      </c>
      <c r="W40" s="2"/>
      <c r="X40" s="2">
        <f t="shared" si="12"/>
        <v>0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-479454</v>
      </c>
      <c r="E41" s="2"/>
      <c r="F41" s="19">
        <f t="shared" si="6"/>
        <v>-0.75891173297825198</v>
      </c>
      <c r="G41" s="2"/>
      <c r="H41" s="2"/>
      <c r="I41" s="2"/>
      <c r="J41" s="19">
        <f t="shared" si="7"/>
        <v>0</v>
      </c>
      <c r="K41" s="2"/>
      <c r="L41" s="2">
        <f t="shared" si="8"/>
        <v>-479454</v>
      </c>
      <c r="M41" s="2"/>
      <c r="N41" s="19">
        <f t="shared" si="9"/>
        <v>0</v>
      </c>
      <c r="O41" s="11"/>
      <c r="P41" s="2">
        <v>-3278277.91</v>
      </c>
      <c r="Q41" s="2"/>
      <c r="R41" s="19">
        <f t="shared" si="10"/>
        <v>-0.70839101586629161</v>
      </c>
      <c r="S41" s="2"/>
      <c r="T41" s="2"/>
      <c r="U41" s="2"/>
      <c r="V41" s="19">
        <f t="shared" si="11"/>
        <v>0</v>
      </c>
      <c r="W41" s="2"/>
      <c r="X41" s="2">
        <f t="shared" si="12"/>
        <v>-3278277.91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"5300", " - ", "COG$ OFFSET")</f>
        <v xml:space="preserve">          5300 - COG$ OFFSET</v>
      </c>
      <c r="C42" s="11"/>
      <c r="D42" s="2">
        <v>386623.33</v>
      </c>
      <c r="E42" s="2"/>
      <c r="F42" s="19">
        <f t="shared" si="6"/>
        <v>0.61197316401599033</v>
      </c>
      <c r="G42" s="2"/>
      <c r="H42" s="2"/>
      <c r="I42" s="2"/>
      <c r="J42" s="19">
        <f t="shared" si="7"/>
        <v>0</v>
      </c>
      <c r="K42" s="2"/>
      <c r="L42" s="2">
        <f t="shared" si="8"/>
        <v>386623.33</v>
      </c>
      <c r="M42" s="2"/>
      <c r="N42" s="19">
        <f t="shared" si="9"/>
        <v>0</v>
      </c>
      <c r="O42" s="11"/>
      <c r="P42" s="2">
        <v>2870072.87</v>
      </c>
      <c r="Q42" s="2"/>
      <c r="R42" s="19">
        <f t="shared" si="10"/>
        <v>0.62018349017566454</v>
      </c>
      <c r="S42" s="2"/>
      <c r="T42" s="2"/>
      <c r="U42" s="2"/>
      <c r="V42" s="19">
        <f t="shared" si="11"/>
        <v>0</v>
      </c>
      <c r="W42" s="2"/>
      <c r="X42" s="2">
        <f t="shared" si="12"/>
        <v>2870072.87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"5500", " - ", "FREIGHT-IN")</f>
        <v xml:space="preserve">          5500 - FREIGHT-IN</v>
      </c>
      <c r="C43" s="11"/>
      <c r="D43" s="2">
        <v>9525.24</v>
      </c>
      <c r="E43" s="2"/>
      <c r="F43" s="19">
        <f t="shared" si="6"/>
        <v>1.5077184454470637E-2</v>
      </c>
      <c r="G43" s="2"/>
      <c r="H43" s="2"/>
      <c r="I43" s="2"/>
      <c r="J43" s="19">
        <f t="shared" si="7"/>
        <v>0</v>
      </c>
      <c r="K43" s="2"/>
      <c r="L43" s="2">
        <f t="shared" si="8"/>
        <v>9525.24</v>
      </c>
      <c r="M43" s="2"/>
      <c r="N43" s="19">
        <f t="shared" si="9"/>
        <v>0</v>
      </c>
      <c r="O43" s="11"/>
      <c r="P43" s="2">
        <v>70326.490000000005</v>
      </c>
      <c r="Q43" s="2"/>
      <c r="R43" s="19">
        <f t="shared" si="10"/>
        <v>1.519659255899101E-2</v>
      </c>
      <c r="S43" s="2"/>
      <c r="T43" s="2"/>
      <c r="U43" s="2"/>
      <c r="V43" s="19">
        <f t="shared" si="11"/>
        <v>0</v>
      </c>
      <c r="W43" s="2"/>
      <c r="X43" s="2">
        <f t="shared" si="12"/>
        <v>70326.490000000005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"5501", " - ", "FREIGHT-IN-NEW TEXT")</f>
        <v xml:space="preserve">          5501 - FREIGHT-IN-NEW TEXT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"5502", " - ", "FREIGHT-IN-USED TEXT")</f>
        <v xml:space="preserve">          5502 - FREIGHT-IN-USED TEXT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"5518", " - ", "FREIGHT-IN-STUDY GUIDES")</f>
        <v xml:space="preserve">          5518 - FREIGHT-IN-STUDY GUIDES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"5527", " - ", "FREIGHT-IN-SCHOOL SUPPLIES")</f>
        <v xml:space="preserve">          5527 - FREIGHT-IN-SCHOOL SUPPLIES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0</v>
      </c>
      <c r="Q47" s="2"/>
      <c r="R47" s="19">
        <f t="shared" si="10"/>
        <v>0</v>
      </c>
      <c r="S47" s="2"/>
      <c r="T47" s="2"/>
      <c r="U47" s="2"/>
      <c r="V47" s="19">
        <f t="shared" si="11"/>
        <v>0</v>
      </c>
      <c r="W47" s="2"/>
      <c r="X47" s="2">
        <f t="shared" si="12"/>
        <v>0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"5528", " - ", "FREIGHT-IN-ART/TECH")</f>
        <v xml:space="preserve">          5528 - FREIGHT-IN-ART/TECH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0</v>
      </c>
      <c r="Q48" s="2"/>
      <c r="R48" s="19">
        <f t="shared" si="10"/>
        <v>0</v>
      </c>
      <c r="S48" s="2"/>
      <c r="T48" s="2"/>
      <c r="U48" s="2"/>
      <c r="V48" s="19">
        <f t="shared" si="11"/>
        <v>0</v>
      </c>
      <c r="W48" s="2"/>
      <c r="X48" s="2">
        <f t="shared" si="12"/>
        <v>0</v>
      </c>
      <c r="Y48" s="2"/>
      <c r="Z48" s="19">
        <f t="shared" si="13"/>
        <v>0</v>
      </c>
    </row>
    <row r="49" spans="1:26" s="24" customFormat="1" hidden="1" outlineLevel="1" x14ac:dyDescent="0.3">
      <c r="A49" s="44"/>
      <c r="B49" s="11" t="str">
        <f>CONCATENATE("          ", "5540", " - ", "FREIGHT-IN-LOGO CLOTHING")</f>
        <v xml:space="preserve">          5540 - FREIGHT-IN-LOGO CLOTHING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0</v>
      </c>
      <c r="Q49" s="2"/>
      <c r="R49" s="19">
        <f t="shared" si="10"/>
        <v>0</v>
      </c>
      <c r="S49" s="2"/>
      <c r="T49" s="2"/>
      <c r="U49" s="2"/>
      <c r="V49" s="19">
        <f t="shared" si="11"/>
        <v>0</v>
      </c>
      <c r="W49" s="2"/>
      <c r="X49" s="2">
        <f t="shared" si="12"/>
        <v>0</v>
      </c>
      <c r="Y49" s="2"/>
      <c r="Z49" s="19">
        <f t="shared" si="13"/>
        <v>0</v>
      </c>
    </row>
    <row r="50" spans="1:26" s="24" customFormat="1" hidden="1" outlineLevel="1" x14ac:dyDescent="0.3">
      <c r="A50" s="44"/>
      <c r="B50" s="11" t="str">
        <f>CONCATENATE("          ", "5541", " - ", "FREIGHT-IN-LOGO GIFTS")</f>
        <v xml:space="preserve">          5541 - FREIGHT-IN-LOGO GIFTS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0</v>
      </c>
      <c r="Q50" s="2"/>
      <c r="R50" s="19">
        <f t="shared" si="10"/>
        <v>0</v>
      </c>
      <c r="S50" s="2"/>
      <c r="T50" s="2"/>
      <c r="U50" s="2"/>
      <c r="V50" s="19">
        <f t="shared" si="11"/>
        <v>0</v>
      </c>
      <c r="W50" s="2"/>
      <c r="X50" s="2">
        <f t="shared" si="12"/>
        <v>0</v>
      </c>
      <c r="Y50" s="2"/>
      <c r="Z50" s="19">
        <f t="shared" si="13"/>
        <v>0</v>
      </c>
    </row>
    <row r="51" spans="1:26" s="24" customFormat="1" hidden="1" outlineLevel="1" x14ac:dyDescent="0.3">
      <c r="A51" s="44"/>
      <c r="B51" s="11" t="str">
        <f>CONCATENATE("          ", "5542", " - ", "FREIGHT-IN-EVERYDAY GIFTS")</f>
        <v xml:space="preserve">          5542 - FREIGHT-IN-EVERYDAY GIFTS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3">
      <c r="A52" s="44"/>
      <c r="B52" s="11" t="str">
        <f>CONCATENATE("          ", "5544", " - ", "FREIGHT-IN-ACCESSORIES")</f>
        <v xml:space="preserve">          5544 - FREIGHT-IN-ACCESSORIES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0</v>
      </c>
      <c r="Q52" s="2"/>
      <c r="R52" s="19">
        <f t="shared" si="10"/>
        <v>0</v>
      </c>
      <c r="S52" s="2"/>
      <c r="T52" s="2"/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s="24" customFormat="1" hidden="1" outlineLevel="1" x14ac:dyDescent="0.3">
      <c r="A53" s="44"/>
      <c r="B53" s="11" t="str">
        <f>CONCATENATE("          ", "5545", " - ", "FREIGHT-IN-SPECIAL ORDERS")</f>
        <v xml:space="preserve">          5545 - FREIGHT-IN-SPECIAL ORDERS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0</v>
      </c>
      <c r="Q53" s="2"/>
      <c r="R53" s="19">
        <f t="shared" si="10"/>
        <v>0</v>
      </c>
      <c r="S53" s="2"/>
      <c r="T53" s="2"/>
      <c r="U53" s="2"/>
      <c r="V53" s="19">
        <f t="shared" si="11"/>
        <v>0</v>
      </c>
      <c r="W53" s="2"/>
      <c r="X53" s="2">
        <f t="shared" si="12"/>
        <v>0</v>
      </c>
      <c r="Y53" s="2"/>
      <c r="Z53" s="19">
        <f t="shared" si="13"/>
        <v>0</v>
      </c>
    </row>
    <row r="54" spans="1:26" s="24" customFormat="1" hidden="1" outlineLevel="1" x14ac:dyDescent="0.3">
      <c r="A54" s="44"/>
      <c r="B54" s="11" t="str">
        <f>CONCATENATE("          ", "5583", " - ", "FREIGHT-IN-COMPUTER EQUIPMENT")</f>
        <v xml:space="preserve">          5583 - FREIGHT-IN-COMPUTER EQUIPMENT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0</v>
      </c>
      <c r="Q54" s="2"/>
      <c r="R54" s="19">
        <f t="shared" si="10"/>
        <v>0</v>
      </c>
      <c r="S54" s="2"/>
      <c r="T54" s="2"/>
      <c r="U54" s="2"/>
      <c r="V54" s="19">
        <f t="shared" si="11"/>
        <v>0</v>
      </c>
      <c r="W54" s="2"/>
      <c r="X54" s="2">
        <f t="shared" si="12"/>
        <v>0</v>
      </c>
      <c r="Y54" s="2"/>
      <c r="Z54" s="19">
        <f t="shared" si="13"/>
        <v>0</v>
      </c>
    </row>
    <row r="55" spans="1:26" x14ac:dyDescent="0.3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3">
      <c r="A56" s="10"/>
      <c r="B56" s="26" t="s">
        <v>108</v>
      </c>
      <c r="C56" s="26"/>
      <c r="D56" s="20">
        <f>D12-D21</f>
        <v>253837.33000000007</v>
      </c>
      <c r="E56" s="13"/>
      <c r="F56" s="22">
        <f>IF(D$12=0,0,D56/D$12)</f>
        <v>0.40179063685957878</v>
      </c>
      <c r="G56" s="13"/>
      <c r="H56" s="20">
        <f>H12-H21</f>
        <v>207805</v>
      </c>
      <c r="I56" s="13"/>
      <c r="J56" s="22">
        <f>IF(H$12=0,0,H56/H$12)</f>
        <v>0.43511899527201614</v>
      </c>
      <c r="K56" s="16"/>
      <c r="L56" s="20">
        <f>+D56-H56</f>
        <v>46032.330000000075</v>
      </c>
      <c r="M56" s="16"/>
      <c r="N56" s="22">
        <f>IF(H56=0,0,L56/H56)</f>
        <v>0.22151695098770519</v>
      </c>
      <c r="O56" s="25"/>
      <c r="P56" s="20">
        <f>P12-P21</f>
        <v>1593365.6300000004</v>
      </c>
      <c r="Q56" s="13"/>
      <c r="R56" s="22">
        <f>IF(P$12=0,0,P56/P$12)</f>
        <v>0.3443045184909701</v>
      </c>
      <c r="S56" s="13"/>
      <c r="T56" s="20">
        <f>T12-T21</f>
        <v>1982786</v>
      </c>
      <c r="U56" s="13"/>
      <c r="V56" s="22">
        <f>IF(T$12=0,0,T56/T$12)</f>
        <v>0.32286547904046331</v>
      </c>
      <c r="W56" s="16"/>
      <c r="X56" s="20">
        <f>+P56-T56</f>
        <v>-389420.36999999965</v>
      </c>
      <c r="Y56" s="16"/>
      <c r="Z56" s="22">
        <f>IF(T56=0,0,X56/T56)</f>
        <v>-0.19640060500729764</v>
      </c>
    </row>
    <row r="57" spans="1:26" x14ac:dyDescent="0.3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3">
      <c r="A58" s="10"/>
      <c r="B58" s="25" t="s">
        <v>295</v>
      </c>
      <c r="C58" s="10"/>
      <c r="D58" s="21">
        <f>SUM(OSRRefD22x_0)</f>
        <v>288966.49</v>
      </c>
      <c r="E58" s="21"/>
      <c r="F58" s="32">
        <f t="shared" ref="F58:F69" si="14">IF(D$12=0,0,D58/D$12)</f>
        <v>0.45739541165271896</v>
      </c>
      <c r="G58" s="21"/>
      <c r="H58" s="21">
        <f>SUM(OSRRefH22x_0)</f>
        <v>308907.09527947509</v>
      </c>
      <c r="I58" s="21"/>
      <c r="J58" s="32">
        <f t="shared" ref="J58:J69" si="15">IF(H$12=0,0,H58/H$12)</f>
        <v>0.6468147779427933</v>
      </c>
      <c r="K58" s="4"/>
      <c r="L58" s="21">
        <f t="shared" ref="L58:L69" si="16">+D58-H58</f>
        <v>-19940.605279475101</v>
      </c>
      <c r="M58" s="4"/>
      <c r="N58" s="32">
        <f t="shared" ref="N58:N69" si="17">IF(H58=0,0,L58/H58)</f>
        <v>-6.4552111570743934E-2</v>
      </c>
      <c r="O58" s="10"/>
      <c r="P58" s="21">
        <f>SUM(OSRRefP22x_0)</f>
        <v>1952084.9199999997</v>
      </c>
      <c r="Q58" s="21"/>
      <c r="R58" s="32">
        <f t="shared" ref="R58:R69" si="18">IF(P$12=0,0,P58/P$12)</f>
        <v>0.42181885047569634</v>
      </c>
      <c r="S58" s="21"/>
      <c r="T58" s="21">
        <f>SUM(OSRRefT22x_0)</f>
        <v>2117741.3935317812</v>
      </c>
      <c r="U58" s="21"/>
      <c r="V58" s="32">
        <f t="shared" ref="V58:V69" si="19">IF(T$12=0,0,T58/T$12)</f>
        <v>0.34484083986191999</v>
      </c>
      <c r="W58" s="4"/>
      <c r="X58" s="21">
        <f t="shared" ref="X58:X69" si="20">+P58-T58</f>
        <v>-165656.47353178146</v>
      </c>
      <c r="Y58" s="4"/>
      <c r="Z58" s="32">
        <f t="shared" ref="Z58:Z69" si="21">IF(T58=0,0,X58/T58)</f>
        <v>-7.8223183452779524E-2</v>
      </c>
    </row>
    <row r="59" spans="1:26" s="28" customFormat="1" outlineLevel="1" collapsed="1" x14ac:dyDescent="0.3">
      <c r="A59" s="27"/>
      <c r="B59" s="14" t="str">
        <f>CONCATENATE("     ","*Benefits                                         ")</f>
        <v xml:space="preserve">     *Benefits                                         </v>
      </c>
      <c r="C59" s="14"/>
      <c r="D59" s="1">
        <f>SUM(OSRRefD22_0x_0)</f>
        <v>46521.07</v>
      </c>
      <c r="E59" s="1"/>
      <c r="F59" s="5">
        <f t="shared" si="14"/>
        <v>7.3636648883318459E-2</v>
      </c>
      <c r="G59" s="1"/>
      <c r="H59" s="1">
        <f>SUM(OSRRefH22_0x_0)</f>
        <v>46132.06264575979</v>
      </c>
      <c r="I59" s="1"/>
      <c r="J59" s="5">
        <f t="shared" si="15"/>
        <v>9.6595061467475304E-2</v>
      </c>
      <c r="K59" s="1"/>
      <c r="L59" s="1">
        <f t="shared" si="16"/>
        <v>389.00735424020968</v>
      </c>
      <c r="M59" s="1"/>
      <c r="N59" s="5">
        <f t="shared" si="17"/>
        <v>8.4324725999643801E-3</v>
      </c>
      <c r="O59" s="14"/>
      <c r="P59" s="1">
        <f>SUM(OSRRefP22_0x_0)</f>
        <v>312520.95999999996</v>
      </c>
      <c r="Q59" s="1"/>
      <c r="R59" s="5">
        <f t="shared" si="18"/>
        <v>6.7531504775294862E-2</v>
      </c>
      <c r="S59" s="1"/>
      <c r="T59" s="1">
        <f>SUM(OSRRefT22_0x_0)</f>
        <v>307892.84737416921</v>
      </c>
      <c r="U59" s="1"/>
      <c r="V59" s="5">
        <f t="shared" si="19"/>
        <v>5.0135502096844239E-2</v>
      </c>
      <c r="W59" s="1"/>
      <c r="X59" s="1">
        <f t="shared" si="20"/>
        <v>4628.1126258307486</v>
      </c>
      <c r="Y59" s="1"/>
      <c r="Z59" s="5">
        <f t="shared" si="21"/>
        <v>1.5031569149141026E-2</v>
      </c>
    </row>
    <row r="60" spans="1:26" s="24" customFormat="1" hidden="1" outlineLevel="2" x14ac:dyDescent="0.3">
      <c r="A60" s="29"/>
      <c r="B60" s="11" t="str">
        <f>CONCATENATE("          ", "6111", " - ", "F.I.C.A.")</f>
        <v xml:space="preserve">          6111 - F.I.C.A.</v>
      </c>
      <c r="C60" s="11"/>
      <c r="D60" s="6">
        <v>7261.21</v>
      </c>
      <c r="E60" s="2"/>
      <c r="F60" s="7">
        <f t="shared" si="14"/>
        <v>1.1493526938181793E-2</v>
      </c>
      <c r="G60" s="2"/>
      <c r="H60" s="6">
        <v>9258.9429602420805</v>
      </c>
      <c r="I60" s="2"/>
      <c r="J60" s="7">
        <f t="shared" si="15"/>
        <v>1.9387127153540292E-2</v>
      </c>
      <c r="K60" s="2"/>
      <c r="L60" s="6">
        <f t="shared" si="16"/>
        <v>-1997.7329602420805</v>
      </c>
      <c r="M60" s="2"/>
      <c r="N60" s="7">
        <f t="shared" si="17"/>
        <v>-0.21576253021757988</v>
      </c>
      <c r="O60" s="11"/>
      <c r="P60" s="6">
        <v>59120.63</v>
      </c>
      <c r="Q60" s="2"/>
      <c r="R60" s="7">
        <f t="shared" si="18"/>
        <v>1.277515948742587E-2</v>
      </c>
      <c r="S60" s="2"/>
      <c r="T60" s="6">
        <v>64078.319331765801</v>
      </c>
      <c r="U60" s="2"/>
      <c r="V60" s="7">
        <f t="shared" si="19"/>
        <v>1.0434145322368802E-2</v>
      </c>
      <c r="W60" s="2"/>
      <c r="X60" s="6">
        <f t="shared" si="20"/>
        <v>-4957.6893317658032</v>
      </c>
      <c r="Y60" s="2"/>
      <c r="Z60" s="7">
        <f t="shared" si="21"/>
        <v>-7.736921603853783E-2</v>
      </c>
    </row>
    <row r="61" spans="1:26" s="24" customFormat="1" hidden="1" outlineLevel="2" x14ac:dyDescent="0.3">
      <c r="A61" s="29"/>
      <c r="B61" s="11" t="str">
        <f>CONCATENATE("          ", "6112", " - ", "COMPENSATION INSURANCE")</f>
        <v xml:space="preserve">          6112 - COMPENSATION INSURANCE</v>
      </c>
      <c r="C61" s="11"/>
      <c r="D61" s="6">
        <v>2326.8200000000002</v>
      </c>
      <c r="E61" s="2"/>
      <c r="F61" s="7">
        <f t="shared" si="14"/>
        <v>3.6830457114310372E-3</v>
      </c>
      <c r="G61" s="2"/>
      <c r="H61" s="6">
        <v>2662.8106318800001</v>
      </c>
      <c r="I61" s="2"/>
      <c r="J61" s="7">
        <f t="shared" si="15"/>
        <v>5.5756092815055849E-3</v>
      </c>
      <c r="K61" s="2"/>
      <c r="L61" s="6">
        <f t="shared" si="16"/>
        <v>-335.99063187999991</v>
      </c>
      <c r="M61" s="2"/>
      <c r="N61" s="7">
        <f t="shared" si="17"/>
        <v>-0.12617894335309285</v>
      </c>
      <c r="O61" s="11"/>
      <c r="P61" s="6">
        <v>15762.26</v>
      </c>
      <c r="Q61" s="2"/>
      <c r="R61" s="7">
        <f t="shared" si="18"/>
        <v>3.4060087888487197E-3</v>
      </c>
      <c r="S61" s="2"/>
      <c r="T61" s="6">
        <v>17763.844607219999</v>
      </c>
      <c r="U61" s="2"/>
      <c r="V61" s="7">
        <f t="shared" si="19"/>
        <v>2.8925623837925203E-3</v>
      </c>
      <c r="W61" s="2"/>
      <c r="X61" s="6">
        <f t="shared" si="20"/>
        <v>-2001.5846072199984</v>
      </c>
      <c r="Y61" s="2"/>
      <c r="Z61" s="7">
        <f t="shared" si="21"/>
        <v>-0.11267744407122698</v>
      </c>
    </row>
    <row r="62" spans="1:26" s="24" customFormat="1" hidden="1" outlineLevel="2" x14ac:dyDescent="0.3">
      <c r="A62" s="29"/>
      <c r="B62" s="11" t="str">
        <f>CONCATENATE("          ", "6113", " - ", "GROUP INSURANCE")</f>
        <v xml:space="preserve">          6113 - GROUP INSURANCE</v>
      </c>
      <c r="C62" s="11"/>
      <c r="D62" s="6">
        <v>17404.55</v>
      </c>
      <c r="E62" s="2"/>
      <c r="F62" s="7">
        <f t="shared" si="14"/>
        <v>2.7549081251187046E-2</v>
      </c>
      <c r="G62" s="2"/>
      <c r="H62" s="6">
        <v>16659.4230769231</v>
      </c>
      <c r="I62" s="2"/>
      <c r="J62" s="7">
        <f t="shared" si="15"/>
        <v>3.4882853786204461E-2</v>
      </c>
      <c r="K62" s="2"/>
      <c r="L62" s="6">
        <f t="shared" si="16"/>
        <v>745.1269230768994</v>
      </c>
      <c r="M62" s="2"/>
      <c r="N62" s="7">
        <f t="shared" si="17"/>
        <v>4.472705445058666E-2</v>
      </c>
      <c r="O62" s="11"/>
      <c r="P62" s="6">
        <v>110557.45</v>
      </c>
      <c r="Q62" s="2"/>
      <c r="R62" s="7">
        <f t="shared" si="18"/>
        <v>2.3889952733472414E-2</v>
      </c>
      <c r="S62" s="2"/>
      <c r="T62" s="6">
        <v>107341.5</v>
      </c>
      <c r="U62" s="2"/>
      <c r="V62" s="7">
        <f t="shared" si="19"/>
        <v>1.7478873069722047E-2</v>
      </c>
      <c r="W62" s="2"/>
      <c r="X62" s="6">
        <f t="shared" si="20"/>
        <v>3215.9499999999971</v>
      </c>
      <c r="Y62" s="2"/>
      <c r="Z62" s="7">
        <f t="shared" si="21"/>
        <v>2.9959987516477757E-2</v>
      </c>
    </row>
    <row r="63" spans="1:26" s="24" customFormat="1" hidden="1" outlineLevel="2" x14ac:dyDescent="0.3">
      <c r="A63" s="29"/>
      <c r="B63" s="11" t="str">
        <f>CONCATENATE("          ", "6114", " - ", "STATE UNEMPLOYMENT INSURANCE")</f>
        <v xml:space="preserve">          6114 - STATE UNEMPLOYMENT INSURANCE</v>
      </c>
      <c r="C63" s="11"/>
      <c r="D63" s="6">
        <v>418.44</v>
      </c>
      <c r="E63" s="2"/>
      <c r="F63" s="7">
        <f t="shared" si="14"/>
        <v>6.6233470895522774E-4</v>
      </c>
      <c r="G63" s="2"/>
      <c r="H63" s="6">
        <v>358.45527736846202</v>
      </c>
      <c r="I63" s="2"/>
      <c r="J63" s="7">
        <f t="shared" si="15"/>
        <v>7.505627878949835E-4</v>
      </c>
      <c r="K63" s="2"/>
      <c r="L63" s="6">
        <f t="shared" si="16"/>
        <v>59.984722631537977</v>
      </c>
      <c r="M63" s="2"/>
      <c r="N63" s="7">
        <f t="shared" si="17"/>
        <v>0.16734227787607295</v>
      </c>
      <c r="O63" s="11"/>
      <c r="P63" s="6">
        <v>2840.25</v>
      </c>
      <c r="Q63" s="2"/>
      <c r="R63" s="7">
        <f t="shared" si="18"/>
        <v>6.1373917588769479E-4</v>
      </c>
      <c r="S63" s="2"/>
      <c r="T63" s="6">
        <v>2391.28677404885</v>
      </c>
      <c r="U63" s="2"/>
      <c r="V63" s="7">
        <f t="shared" si="19"/>
        <v>3.8938339781822452E-4</v>
      </c>
      <c r="W63" s="2"/>
      <c r="X63" s="6">
        <f t="shared" si="20"/>
        <v>448.96322595114998</v>
      </c>
      <c r="Y63" s="2"/>
      <c r="Z63" s="7">
        <f t="shared" si="21"/>
        <v>0.18774963790352081</v>
      </c>
    </row>
    <row r="64" spans="1:26" s="24" customFormat="1" hidden="1" outlineLevel="2" x14ac:dyDescent="0.3">
      <c r="A64" s="29"/>
      <c r="B64" s="11" t="str">
        <f>CONCATENATE("          ", "6115", " - ", "P.E.R.S.")</f>
        <v xml:space="preserve">          6115 - P.E.R.S.</v>
      </c>
      <c r="C64" s="11"/>
      <c r="D64" s="6">
        <v>5807</v>
      </c>
      <c r="E64" s="2"/>
      <c r="F64" s="7">
        <f t="shared" si="14"/>
        <v>9.1917064690350044E-3</v>
      </c>
      <c r="G64" s="2"/>
      <c r="H64" s="6">
        <v>4417.7643771846097</v>
      </c>
      <c r="I64" s="2"/>
      <c r="J64" s="7">
        <f t="shared" si="15"/>
        <v>9.2502740412842392E-3</v>
      </c>
      <c r="K64" s="2"/>
      <c r="L64" s="6">
        <f t="shared" si="16"/>
        <v>1389.2356228153903</v>
      </c>
      <c r="M64" s="2"/>
      <c r="N64" s="7">
        <f t="shared" si="17"/>
        <v>0.31446575783671249</v>
      </c>
      <c r="O64" s="11"/>
      <c r="P64" s="6">
        <v>43295.54</v>
      </c>
      <c r="Q64" s="2"/>
      <c r="R64" s="7">
        <f t="shared" si="18"/>
        <v>9.3555739949697132E-3</v>
      </c>
      <c r="S64" s="2"/>
      <c r="T64" s="6">
        <v>30533.061913238402</v>
      </c>
      <c r="U64" s="2"/>
      <c r="V64" s="7">
        <f t="shared" si="19"/>
        <v>4.9718283572659089E-3</v>
      </c>
      <c r="W64" s="2"/>
      <c r="X64" s="6">
        <f t="shared" si="20"/>
        <v>12762.478086761599</v>
      </c>
      <c r="Y64" s="2"/>
      <c r="Z64" s="7">
        <f t="shared" si="21"/>
        <v>0.41798880580752024</v>
      </c>
    </row>
    <row r="65" spans="1:26" s="24" customFormat="1" hidden="1" outlineLevel="2" x14ac:dyDescent="0.3">
      <c r="A65" s="29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4"/>
        <v>0</v>
      </c>
      <c r="G65" s="2"/>
      <c r="H65" s="6">
        <v>0</v>
      </c>
      <c r="I65" s="2"/>
      <c r="J65" s="7">
        <f t="shared" si="15"/>
        <v>0</v>
      </c>
      <c r="K65" s="2"/>
      <c r="L65" s="6">
        <f t="shared" si="16"/>
        <v>0</v>
      </c>
      <c r="M65" s="2"/>
      <c r="N65" s="7">
        <f t="shared" si="17"/>
        <v>0</v>
      </c>
      <c r="O65" s="11"/>
      <c r="P65" s="6"/>
      <c r="Q65" s="2"/>
      <c r="R65" s="7">
        <f t="shared" si="18"/>
        <v>0</v>
      </c>
      <c r="S65" s="2"/>
      <c r="T65" s="6">
        <v>0</v>
      </c>
      <c r="U65" s="2"/>
      <c r="V65" s="7">
        <f t="shared" si="19"/>
        <v>0</v>
      </c>
      <c r="W65" s="2"/>
      <c r="X65" s="6">
        <f t="shared" si="20"/>
        <v>0</v>
      </c>
      <c r="Y65" s="2"/>
      <c r="Z65" s="7">
        <f t="shared" si="21"/>
        <v>0</v>
      </c>
    </row>
    <row r="66" spans="1:26" s="24" customFormat="1" hidden="1" outlineLevel="2" x14ac:dyDescent="0.3">
      <c r="A66" s="29"/>
      <c r="B66" s="11" t="str">
        <f>CONCATENATE("          ", "6117", " - ", "RETIREMENT STAFF HOURLY")</f>
        <v xml:space="preserve">          6117 - RETIREMENT STAFF HOURLY</v>
      </c>
      <c r="C66" s="11"/>
      <c r="D66" s="6">
        <v>710.27</v>
      </c>
      <c r="E66" s="2"/>
      <c r="F66" s="7">
        <f t="shared" si="14"/>
        <v>1.1242626750062844E-3</v>
      </c>
      <c r="G66" s="2"/>
      <c r="H66" s="6"/>
      <c r="I66" s="2"/>
      <c r="J66" s="7">
        <f t="shared" si="15"/>
        <v>0</v>
      </c>
      <c r="K66" s="2"/>
      <c r="L66" s="6">
        <f t="shared" si="16"/>
        <v>710.27</v>
      </c>
      <c r="M66" s="2"/>
      <c r="N66" s="7">
        <f t="shared" si="17"/>
        <v>0</v>
      </c>
      <c r="O66" s="11"/>
      <c r="P66" s="6">
        <v>3277.07</v>
      </c>
      <c r="Q66" s="2"/>
      <c r="R66" s="7">
        <f t="shared" si="18"/>
        <v>7.0813000303715805E-4</v>
      </c>
      <c r="S66" s="2"/>
      <c r="T66" s="6"/>
      <c r="U66" s="2"/>
      <c r="V66" s="7">
        <f t="shared" si="19"/>
        <v>0</v>
      </c>
      <c r="W66" s="2"/>
      <c r="X66" s="6">
        <f t="shared" si="20"/>
        <v>3277.07</v>
      </c>
      <c r="Y66" s="2"/>
      <c r="Z66" s="7">
        <f t="shared" si="21"/>
        <v>0</v>
      </c>
    </row>
    <row r="67" spans="1:26" s="24" customFormat="1" hidden="1" outlineLevel="2" x14ac:dyDescent="0.3">
      <c r="A67" s="29"/>
      <c r="B67" s="11" t="str">
        <f>CONCATENATE("          ", "6118", " - ", "VACATION")</f>
        <v xml:space="preserve">          6118 - VACATION</v>
      </c>
      <c r="C67" s="11"/>
      <c r="D67" s="6">
        <v>5630.2</v>
      </c>
      <c r="E67" s="2"/>
      <c r="F67" s="7">
        <f t="shared" si="14"/>
        <v>8.9118556504151677E-3</v>
      </c>
      <c r="G67" s="2"/>
      <c r="H67" s="6">
        <v>3972.4748426692299</v>
      </c>
      <c r="I67" s="2"/>
      <c r="J67" s="7">
        <f t="shared" si="15"/>
        <v>8.3178906296075428E-3</v>
      </c>
      <c r="K67" s="2"/>
      <c r="L67" s="6">
        <f t="shared" si="16"/>
        <v>1657.7251573307699</v>
      </c>
      <c r="M67" s="2"/>
      <c r="N67" s="7">
        <f t="shared" si="17"/>
        <v>0.41730287112828951</v>
      </c>
      <c r="O67" s="11"/>
      <c r="P67" s="6">
        <v>35308.99</v>
      </c>
      <c r="Q67" s="2"/>
      <c r="R67" s="7">
        <f t="shared" si="18"/>
        <v>7.6297897804865266E-3</v>
      </c>
      <c r="S67" s="2"/>
      <c r="T67" s="6">
        <v>27934.567246580798</v>
      </c>
      <c r="U67" s="2"/>
      <c r="V67" s="7">
        <f t="shared" si="19"/>
        <v>4.5487044168434449E-3</v>
      </c>
      <c r="W67" s="2"/>
      <c r="X67" s="6">
        <f t="shared" si="20"/>
        <v>7374.4227534191996</v>
      </c>
      <c r="Y67" s="2"/>
      <c r="Z67" s="7">
        <f t="shared" si="21"/>
        <v>0.26398915323529243</v>
      </c>
    </row>
    <row r="68" spans="1:26" s="24" customFormat="1" hidden="1" outlineLevel="2" x14ac:dyDescent="0.3">
      <c r="A68" s="29"/>
      <c r="B68" s="11" t="str">
        <f>CONCATENATE("          ", "6119", " - ", "SICK LEAVE")</f>
        <v xml:space="preserve">          6119 - SICK LEAVE</v>
      </c>
      <c r="C68" s="11"/>
      <c r="D68" s="6">
        <v>4021.51</v>
      </c>
      <c r="E68" s="2"/>
      <c r="F68" s="7">
        <f t="shared" si="14"/>
        <v>6.3655139456326787E-3</v>
      </c>
      <c r="G68" s="2"/>
      <c r="H68" s="6">
        <v>6177.1914794923096</v>
      </c>
      <c r="I68" s="2"/>
      <c r="J68" s="7">
        <f t="shared" si="15"/>
        <v>1.2934305479461767E-2</v>
      </c>
      <c r="K68" s="2"/>
      <c r="L68" s="6">
        <f t="shared" si="16"/>
        <v>-2155.6814794923093</v>
      </c>
      <c r="M68" s="2"/>
      <c r="N68" s="7">
        <f t="shared" si="17"/>
        <v>-0.34897436588277497</v>
      </c>
      <c r="O68" s="11"/>
      <c r="P68" s="6">
        <v>25827.05</v>
      </c>
      <c r="Q68" s="2"/>
      <c r="R68" s="7">
        <f t="shared" si="18"/>
        <v>5.5808722410387425E-3</v>
      </c>
      <c r="S68" s="2"/>
      <c r="T68" s="6">
        <v>41225.2675013154</v>
      </c>
      <c r="U68" s="2"/>
      <c r="V68" s="7">
        <f t="shared" si="19"/>
        <v>6.7128856772155146E-3</v>
      </c>
      <c r="W68" s="2"/>
      <c r="X68" s="6">
        <f t="shared" si="20"/>
        <v>-15398.217501315401</v>
      </c>
      <c r="Y68" s="2"/>
      <c r="Z68" s="7">
        <f t="shared" si="21"/>
        <v>-0.37351407121431246</v>
      </c>
    </row>
    <row r="69" spans="1:26" s="24" customFormat="1" hidden="1" outlineLevel="2" x14ac:dyDescent="0.3">
      <c r="A69" s="29"/>
      <c r="B69" s="11" t="str">
        <f>CONCATENATE("          ", "6156", " - ", "EMPLOYEE MEALS")</f>
        <v xml:space="preserve">          6156 - EMPLOYEE MEALS</v>
      </c>
      <c r="C69" s="11"/>
      <c r="D69" s="6">
        <v>2941.07</v>
      </c>
      <c r="E69" s="2"/>
      <c r="F69" s="7">
        <f t="shared" si="14"/>
        <v>4.6553215334742175E-3</v>
      </c>
      <c r="G69" s="2"/>
      <c r="H69" s="6">
        <v>2625</v>
      </c>
      <c r="I69" s="2"/>
      <c r="J69" s="7">
        <f t="shared" si="15"/>
        <v>5.496438307976431E-3</v>
      </c>
      <c r="K69" s="2"/>
      <c r="L69" s="6">
        <f t="shared" si="16"/>
        <v>316.07000000000016</v>
      </c>
      <c r="M69" s="2"/>
      <c r="N69" s="7">
        <f t="shared" si="17"/>
        <v>0.12040761904761911</v>
      </c>
      <c r="O69" s="11"/>
      <c r="P69" s="6">
        <v>16531.72</v>
      </c>
      <c r="Q69" s="2"/>
      <c r="R69" s="7">
        <f t="shared" si="18"/>
        <v>3.572278570128025E-3</v>
      </c>
      <c r="S69" s="2"/>
      <c r="T69" s="6">
        <v>16625</v>
      </c>
      <c r="U69" s="2"/>
      <c r="V69" s="7">
        <f t="shared" si="19"/>
        <v>2.7071194718177871E-3</v>
      </c>
      <c r="W69" s="2"/>
      <c r="X69" s="6">
        <f t="shared" si="20"/>
        <v>-93.279999999998836</v>
      </c>
      <c r="Y69" s="2"/>
      <c r="Z69" s="7">
        <f t="shared" si="21"/>
        <v>-5.6108270676691026E-3</v>
      </c>
    </row>
    <row r="70" spans="1:26" s="28" customFormat="1" outlineLevel="1" collapsed="1" x14ac:dyDescent="0.3">
      <c r="A70" s="27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158655.63</v>
      </c>
      <c r="E70" s="1"/>
      <c r="F70" s="5">
        <f t="shared" ref="F70:F80" si="22">IF(D$12=0,0,D70/D$12)</f>
        <v>0.2511307009849878</v>
      </c>
      <c r="G70" s="1"/>
      <c r="H70" s="1">
        <f>SUM(OSRRefH22_1x_0)</f>
        <v>163642.03263371528</v>
      </c>
      <c r="I70" s="1"/>
      <c r="J70" s="5">
        <f t="shared" ref="J70:J80" si="23">IF(H$12=0,0,H70/H$12)</f>
        <v>0.34264698550974548</v>
      </c>
      <c r="K70" s="1"/>
      <c r="L70" s="1">
        <f t="shared" ref="L70:L80" si="24">+D70-H70</f>
        <v>-4986.4026337152754</v>
      </c>
      <c r="M70" s="1"/>
      <c r="N70" s="5">
        <f t="shared" ref="N70:N80" si="25">IF(H70=0,0,L70/H70)</f>
        <v>-3.0471404891898927E-2</v>
      </c>
      <c r="O70" s="14"/>
      <c r="P70" s="1">
        <f>SUM(OSRRefP22_1x_0)</f>
        <v>1015170.2899999999</v>
      </c>
      <c r="Q70" s="1"/>
      <c r="R70" s="5">
        <f t="shared" ref="R70:R80" si="26">IF(P$12=0,0,P70/P$12)</f>
        <v>0.21936441410800883</v>
      </c>
      <c r="S70" s="1"/>
      <c r="T70" s="1">
        <f>SUM(OSRRefT22_1x_0)</f>
        <v>1090282.546157612</v>
      </c>
      <c r="U70" s="1"/>
      <c r="V70" s="5">
        <f t="shared" ref="V70:V80" si="27">IF(T$12=0,0,T70/T$12)</f>
        <v>0.17753534499165996</v>
      </c>
      <c r="W70" s="1"/>
      <c r="X70" s="1">
        <f t="shared" ref="X70:X80" si="28">+P70-T70</f>
        <v>-75112.256157612079</v>
      </c>
      <c r="Y70" s="1"/>
      <c r="Z70" s="5">
        <f t="shared" ref="Z70:Z80" si="29">IF(T70=0,0,X70/T70)</f>
        <v>-6.8892468674586857E-2</v>
      </c>
    </row>
    <row r="71" spans="1:26" s="24" customFormat="1" hidden="1" outlineLevel="2" x14ac:dyDescent="0.3">
      <c r="A71" s="29"/>
      <c r="B71" s="11" t="str">
        <f>CONCATENATE("          ", "6001", " - ", "ADMINISTRATIVE SALARIES")</f>
        <v xml:space="preserve">          6001 - ADMINISTRATIVE SALARIES</v>
      </c>
      <c r="C71" s="11"/>
      <c r="D71" s="6">
        <v>4658.26</v>
      </c>
      <c r="E71" s="2"/>
      <c r="F71" s="7">
        <f t="shared" si="22"/>
        <v>7.3734042666518005E-3</v>
      </c>
      <c r="G71" s="2"/>
      <c r="H71" s="6">
        <v>4139.8076923076896</v>
      </c>
      <c r="I71" s="2"/>
      <c r="J71" s="7">
        <f t="shared" si="23"/>
        <v>8.6682657476782835E-3</v>
      </c>
      <c r="K71" s="2"/>
      <c r="L71" s="6">
        <f t="shared" si="24"/>
        <v>518.45230769231057</v>
      </c>
      <c r="M71" s="2"/>
      <c r="N71" s="7">
        <f t="shared" si="25"/>
        <v>0.1252358433595028</v>
      </c>
      <c r="O71" s="11"/>
      <c r="P71" s="6">
        <v>28334.77</v>
      </c>
      <c r="Q71" s="2"/>
      <c r="R71" s="7">
        <f t="shared" si="26"/>
        <v>6.1227562322920094E-3</v>
      </c>
      <c r="S71" s="2"/>
      <c r="T71" s="6">
        <v>26908.75</v>
      </c>
      <c r="U71" s="2"/>
      <c r="V71" s="7">
        <f t="shared" si="27"/>
        <v>4.381666230813647E-3</v>
      </c>
      <c r="W71" s="2"/>
      <c r="X71" s="6">
        <f t="shared" si="28"/>
        <v>1426.0200000000004</v>
      </c>
      <c r="Y71" s="2"/>
      <c r="Z71" s="7">
        <f t="shared" si="29"/>
        <v>5.2994657871510212E-2</v>
      </c>
    </row>
    <row r="72" spans="1:26" s="24" customFormat="1" hidden="1" outlineLevel="2" x14ac:dyDescent="0.3">
      <c r="A72" s="29"/>
      <c r="B72" s="11" t="str">
        <f>CONCATENATE("          ", "6002", " - ", "STAFF SALARIES")</f>
        <v xml:space="preserve">          6002 - STAFF SALARIES</v>
      </c>
      <c r="C72" s="11"/>
      <c r="D72" s="6">
        <v>53983.72</v>
      </c>
      <c r="E72" s="2"/>
      <c r="F72" s="7">
        <f t="shared" si="22"/>
        <v>8.5449028473665298E-2</v>
      </c>
      <c r="G72" s="2"/>
      <c r="H72" s="6">
        <v>42300.635173407602</v>
      </c>
      <c r="I72" s="2"/>
      <c r="J72" s="7">
        <f t="shared" si="23"/>
        <v>8.8572507283372487E-2</v>
      </c>
      <c r="K72" s="2"/>
      <c r="L72" s="6">
        <f t="shared" si="24"/>
        <v>11683.0848265924</v>
      </c>
      <c r="M72" s="2"/>
      <c r="N72" s="7">
        <f t="shared" si="25"/>
        <v>0.27619171151210042</v>
      </c>
      <c r="O72" s="11"/>
      <c r="P72" s="6">
        <v>353192.01</v>
      </c>
      <c r="Q72" s="2"/>
      <c r="R72" s="7">
        <f t="shared" si="26"/>
        <v>7.6319962379198483E-2</v>
      </c>
      <c r="S72" s="2"/>
      <c r="T72" s="6">
        <v>292918.715165612</v>
      </c>
      <c r="U72" s="2"/>
      <c r="V72" s="7">
        <f t="shared" si="27"/>
        <v>4.7697200450206097E-2</v>
      </c>
      <c r="W72" s="2"/>
      <c r="X72" s="6">
        <f t="shared" si="28"/>
        <v>60273.294834388013</v>
      </c>
      <c r="Y72" s="2"/>
      <c r="Z72" s="7">
        <f t="shared" si="29"/>
        <v>0.20576798857085785</v>
      </c>
    </row>
    <row r="73" spans="1:26" s="24" customFormat="1" hidden="1" outlineLevel="2" x14ac:dyDescent="0.3">
      <c r="A73" s="29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2"/>
        <v>0</v>
      </c>
      <c r="G73" s="2"/>
      <c r="H73" s="6">
        <v>0</v>
      </c>
      <c r="I73" s="2"/>
      <c r="J73" s="7">
        <f t="shared" si="23"/>
        <v>0</v>
      </c>
      <c r="K73" s="2"/>
      <c r="L73" s="6">
        <f t="shared" si="24"/>
        <v>0</v>
      </c>
      <c r="M73" s="2"/>
      <c r="N73" s="7">
        <f t="shared" si="25"/>
        <v>0</v>
      </c>
      <c r="O73" s="11"/>
      <c r="P73" s="6"/>
      <c r="Q73" s="2"/>
      <c r="R73" s="7">
        <f t="shared" si="26"/>
        <v>0</v>
      </c>
      <c r="S73" s="2"/>
      <c r="T73" s="6">
        <v>0</v>
      </c>
      <c r="U73" s="2"/>
      <c r="V73" s="7">
        <f t="shared" si="27"/>
        <v>0</v>
      </c>
      <c r="W73" s="2"/>
      <c r="X73" s="6">
        <f t="shared" si="28"/>
        <v>0</v>
      </c>
      <c r="Y73" s="2"/>
      <c r="Z73" s="7">
        <f t="shared" si="29"/>
        <v>0</v>
      </c>
    </row>
    <row r="74" spans="1:26" s="24" customFormat="1" hidden="1" outlineLevel="2" x14ac:dyDescent="0.3">
      <c r="A74" s="29"/>
      <c r="B74" s="11" t="str">
        <f>CONCATENATE("          ", "6004", " - ", "STAFF HOURLY")</f>
        <v xml:space="preserve">          6004 - STAFF HOURLY</v>
      </c>
      <c r="C74" s="11"/>
      <c r="D74" s="6">
        <v>24852.52</v>
      </c>
      <c r="E74" s="2"/>
      <c r="F74" s="7">
        <f t="shared" si="22"/>
        <v>3.9338224359535365E-2</v>
      </c>
      <c r="G74" s="2"/>
      <c r="H74" s="6">
        <v>39234.834768000001</v>
      </c>
      <c r="I74" s="2"/>
      <c r="J74" s="7">
        <f t="shared" si="23"/>
        <v>8.2153085267032674E-2</v>
      </c>
      <c r="K74" s="2"/>
      <c r="L74" s="6">
        <f t="shared" si="24"/>
        <v>-14382.314768</v>
      </c>
      <c r="M74" s="2"/>
      <c r="N74" s="7">
        <f t="shared" si="25"/>
        <v>-0.36657003535364041</v>
      </c>
      <c r="O74" s="11"/>
      <c r="P74" s="6">
        <v>150216.59</v>
      </c>
      <c r="Q74" s="2"/>
      <c r="R74" s="7">
        <f t="shared" si="26"/>
        <v>3.2459750427342574E-2</v>
      </c>
      <c r="S74" s="2"/>
      <c r="T74" s="6">
        <v>242419.87599199999</v>
      </c>
      <c r="U74" s="2"/>
      <c r="V74" s="7">
        <f t="shared" si="27"/>
        <v>3.9474259648336632E-2</v>
      </c>
      <c r="W74" s="2"/>
      <c r="X74" s="6">
        <f t="shared" si="28"/>
        <v>-92203.28599199999</v>
      </c>
      <c r="Y74" s="2"/>
      <c r="Z74" s="7">
        <f t="shared" si="29"/>
        <v>-0.38034540532081934</v>
      </c>
    </row>
    <row r="75" spans="1:26" s="24" customFormat="1" hidden="1" outlineLevel="2" x14ac:dyDescent="0.3">
      <c r="A75" s="29"/>
      <c r="B75" s="11" t="str">
        <f>CONCATENATE("          ", "6005", " - ", "TEMPORARY WAGES-HOURLY")</f>
        <v xml:space="preserve">          6005 - TEMPORARY WAGES-HOURLY</v>
      </c>
      <c r="C75" s="11"/>
      <c r="D75" s="6">
        <v>8286.26</v>
      </c>
      <c r="E75" s="2"/>
      <c r="F75" s="7">
        <f t="shared" si="22"/>
        <v>1.3116044368194593E-2</v>
      </c>
      <c r="G75" s="2"/>
      <c r="H75" s="6">
        <v>4198</v>
      </c>
      <c r="I75" s="2"/>
      <c r="J75" s="7">
        <f t="shared" si="23"/>
        <v>8.7901135302419272E-3</v>
      </c>
      <c r="K75" s="2"/>
      <c r="L75" s="6">
        <f t="shared" si="24"/>
        <v>4088.26</v>
      </c>
      <c r="M75" s="2"/>
      <c r="N75" s="7">
        <f t="shared" si="25"/>
        <v>0.97385898046688901</v>
      </c>
      <c r="O75" s="11"/>
      <c r="P75" s="6">
        <v>59726.58</v>
      </c>
      <c r="Q75" s="2"/>
      <c r="R75" s="7">
        <f t="shared" si="26"/>
        <v>1.2906096994204903E-2</v>
      </c>
      <c r="S75" s="2"/>
      <c r="T75" s="6">
        <v>22369</v>
      </c>
      <c r="U75" s="2"/>
      <c r="V75" s="7">
        <f t="shared" si="27"/>
        <v>3.6424394264717042E-3</v>
      </c>
      <c r="W75" s="2"/>
      <c r="X75" s="6">
        <f t="shared" si="28"/>
        <v>37357.58</v>
      </c>
      <c r="Y75" s="2"/>
      <c r="Z75" s="7">
        <f t="shared" si="29"/>
        <v>1.6700603513791408</v>
      </c>
    </row>
    <row r="76" spans="1:26" s="24" customFormat="1" hidden="1" outlineLevel="2" x14ac:dyDescent="0.3">
      <c r="A76" s="29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2"/>
        <v>0</v>
      </c>
      <c r="G76" s="2"/>
      <c r="H76" s="6">
        <v>0</v>
      </c>
      <c r="I76" s="2"/>
      <c r="J76" s="7">
        <f t="shared" si="23"/>
        <v>0</v>
      </c>
      <c r="K76" s="2"/>
      <c r="L76" s="6">
        <f t="shared" si="24"/>
        <v>0</v>
      </c>
      <c r="M76" s="2"/>
      <c r="N76" s="7">
        <f t="shared" si="25"/>
        <v>0</v>
      </c>
      <c r="O76" s="11"/>
      <c r="P76" s="6">
        <v>9877.6200000000008</v>
      </c>
      <c r="Q76" s="2"/>
      <c r="R76" s="7">
        <f t="shared" si="26"/>
        <v>2.1344185753126707E-3</v>
      </c>
      <c r="S76" s="2"/>
      <c r="T76" s="6">
        <v>0</v>
      </c>
      <c r="U76" s="2"/>
      <c r="V76" s="7">
        <f t="shared" si="27"/>
        <v>0</v>
      </c>
      <c r="W76" s="2"/>
      <c r="X76" s="6">
        <f t="shared" si="28"/>
        <v>9877.6200000000008</v>
      </c>
      <c r="Y76" s="2"/>
      <c r="Z76" s="7">
        <f t="shared" si="29"/>
        <v>0</v>
      </c>
    </row>
    <row r="77" spans="1:26" s="24" customFormat="1" hidden="1" outlineLevel="2" x14ac:dyDescent="0.3">
      <c r="A77" s="29"/>
      <c r="B77" s="11" t="str">
        <f>CONCATENATE("          ", "6007", " - ", "STUDENT HOURLY")</f>
        <v xml:space="preserve">          6007 - STUDENT HOURLY</v>
      </c>
      <c r="C77" s="11"/>
      <c r="D77" s="6">
        <v>59174.55</v>
      </c>
      <c r="E77" s="2"/>
      <c r="F77" s="7">
        <f t="shared" si="22"/>
        <v>9.3665420016744508E-2</v>
      </c>
      <c r="G77" s="2"/>
      <c r="H77" s="6">
        <v>27936</v>
      </c>
      <c r="I77" s="2"/>
      <c r="J77" s="7">
        <f t="shared" si="23"/>
        <v>5.8494666884430314E-2</v>
      </c>
      <c r="K77" s="2"/>
      <c r="L77" s="6">
        <f t="shared" si="24"/>
        <v>31238.550000000003</v>
      </c>
      <c r="M77" s="2"/>
      <c r="N77" s="7">
        <f t="shared" si="25"/>
        <v>1.1182184278350515</v>
      </c>
      <c r="O77" s="11"/>
      <c r="P77" s="6">
        <v>350384.75</v>
      </c>
      <c r="Q77" s="2"/>
      <c r="R77" s="7">
        <f t="shared" si="26"/>
        <v>7.5713351891071548E-2</v>
      </c>
      <c r="S77" s="2"/>
      <c r="T77" s="6">
        <v>225160.48</v>
      </c>
      <c r="U77" s="2"/>
      <c r="V77" s="7">
        <f t="shared" si="27"/>
        <v>3.6663838778456512E-2</v>
      </c>
      <c r="W77" s="2"/>
      <c r="X77" s="6">
        <f t="shared" si="28"/>
        <v>125224.26999999999</v>
      </c>
      <c r="Y77" s="2"/>
      <c r="Z77" s="7">
        <f t="shared" si="29"/>
        <v>0.55615563619334962</v>
      </c>
    </row>
    <row r="78" spans="1:26" s="24" customFormat="1" hidden="1" outlineLevel="2" x14ac:dyDescent="0.3">
      <c r="A78" s="29"/>
      <c r="B78" s="11" t="str">
        <f>CONCATENATE("          ", "6008", " - ", "STUDENT HOURLY-FICA EXEMPT")</f>
        <v xml:space="preserve">          6008 - STUDENT HOURLY-FICA EXEMPT</v>
      </c>
      <c r="C78" s="11"/>
      <c r="D78" s="6">
        <v>7700.32</v>
      </c>
      <c r="E78" s="2"/>
      <c r="F78" s="7">
        <f t="shared" si="22"/>
        <v>1.218857950019625E-2</v>
      </c>
      <c r="G78" s="2"/>
      <c r="H78" s="6">
        <v>45832.754999999997</v>
      </c>
      <c r="I78" s="2"/>
      <c r="J78" s="7">
        <f t="shared" si="23"/>
        <v>9.5968346796989831E-2</v>
      </c>
      <c r="K78" s="2"/>
      <c r="L78" s="6">
        <f t="shared" si="24"/>
        <v>-38132.434999999998</v>
      </c>
      <c r="M78" s="2"/>
      <c r="N78" s="7">
        <f t="shared" si="25"/>
        <v>-0.83199089821242467</v>
      </c>
      <c r="O78" s="11"/>
      <c r="P78" s="6">
        <v>63437.97</v>
      </c>
      <c r="Q78" s="2"/>
      <c r="R78" s="7">
        <f t="shared" si="26"/>
        <v>1.3708077608586677E-2</v>
      </c>
      <c r="S78" s="2"/>
      <c r="T78" s="6">
        <v>280505.72499999998</v>
      </c>
      <c r="U78" s="2"/>
      <c r="V78" s="7">
        <f t="shared" si="27"/>
        <v>4.5675940457375365E-2</v>
      </c>
      <c r="W78" s="2"/>
      <c r="X78" s="6">
        <f t="shared" si="28"/>
        <v>-217067.75499999998</v>
      </c>
      <c r="Y78" s="2"/>
      <c r="Z78" s="7">
        <f t="shared" si="29"/>
        <v>-0.77384429497829321</v>
      </c>
    </row>
    <row r="79" spans="1:26" s="24" customFormat="1" hidden="1" outlineLevel="2" x14ac:dyDescent="0.3">
      <c r="A79" s="29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2"/>
        <v>0</v>
      </c>
      <c r="G79" s="2"/>
      <c r="H79" s="6">
        <v>0</v>
      </c>
      <c r="I79" s="2"/>
      <c r="J79" s="7">
        <f t="shared" si="23"/>
        <v>0</v>
      </c>
      <c r="K79" s="2"/>
      <c r="L79" s="6">
        <f t="shared" si="24"/>
        <v>0</v>
      </c>
      <c r="M79" s="2"/>
      <c r="N79" s="7">
        <f t="shared" si="25"/>
        <v>0</v>
      </c>
      <c r="O79" s="11"/>
      <c r="P79" s="6"/>
      <c r="Q79" s="2"/>
      <c r="R79" s="7">
        <f t="shared" si="26"/>
        <v>0</v>
      </c>
      <c r="S79" s="2"/>
      <c r="T79" s="6">
        <v>0</v>
      </c>
      <c r="U79" s="2"/>
      <c r="V79" s="7">
        <f t="shared" si="27"/>
        <v>0</v>
      </c>
      <c r="W79" s="2"/>
      <c r="X79" s="6">
        <f t="shared" si="28"/>
        <v>0</v>
      </c>
      <c r="Y79" s="2"/>
      <c r="Z79" s="7">
        <f t="shared" si="29"/>
        <v>0</v>
      </c>
    </row>
    <row r="80" spans="1:26" s="24" customFormat="1" hidden="1" outlineLevel="2" x14ac:dyDescent="0.3">
      <c r="A80" s="29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2"/>
        <v>0</v>
      </c>
      <c r="G80" s="2"/>
      <c r="H80" s="6">
        <v>0</v>
      </c>
      <c r="I80" s="2"/>
      <c r="J80" s="7">
        <f t="shared" si="23"/>
        <v>0</v>
      </c>
      <c r="K80" s="2"/>
      <c r="L80" s="6">
        <f t="shared" si="24"/>
        <v>0</v>
      </c>
      <c r="M80" s="2"/>
      <c r="N80" s="7">
        <f t="shared" si="25"/>
        <v>0</v>
      </c>
      <c r="O80" s="11"/>
      <c r="P80" s="6"/>
      <c r="Q80" s="2"/>
      <c r="R80" s="7">
        <f t="shared" si="26"/>
        <v>0</v>
      </c>
      <c r="S80" s="2"/>
      <c r="T80" s="6">
        <v>0</v>
      </c>
      <c r="U80" s="2"/>
      <c r="V80" s="7">
        <f t="shared" si="27"/>
        <v>0</v>
      </c>
      <c r="W80" s="2"/>
      <c r="X80" s="6">
        <f t="shared" si="28"/>
        <v>0</v>
      </c>
      <c r="Y80" s="2"/>
      <c r="Z80" s="7">
        <f t="shared" si="29"/>
        <v>0</v>
      </c>
    </row>
    <row r="81" spans="1:26" s="28" customFormat="1" outlineLevel="1" collapsed="1" x14ac:dyDescent="0.3">
      <c r="A81" s="27"/>
      <c r="B81" s="14" t="str">
        <f>CONCATENATE("     ","Advertising/Promo                                 ")</f>
        <v xml:space="preserve">     Advertising/Promo                                 </v>
      </c>
      <c r="C81" s="14"/>
      <c r="D81" s="1">
        <f>SUM(OSRRefD22_2x_0)</f>
        <v>722.3</v>
      </c>
      <c r="E81" s="1"/>
      <c r="F81" s="5">
        <f t="shared" ref="F81:F89" si="30">IF(D$12=0,0,D81/D$12)</f>
        <v>1.1433045604587538E-3</v>
      </c>
      <c r="G81" s="1"/>
      <c r="H81" s="1">
        <f>SUM(OSRRefH22_2x_0)</f>
        <v>600</v>
      </c>
      <c r="I81" s="1"/>
      <c r="J81" s="5">
        <f t="shared" ref="J81:J89" si="31">IF(H$12=0,0,H81/H$12)</f>
        <v>1.2563287561088985E-3</v>
      </c>
      <c r="K81" s="1"/>
      <c r="L81" s="1">
        <f t="shared" ref="L81:L89" si="32">+D81-H81</f>
        <v>122.29999999999995</v>
      </c>
      <c r="M81" s="1"/>
      <c r="N81" s="5">
        <f t="shared" ref="N81:N89" si="33">IF(H81=0,0,L81/H81)</f>
        <v>0.20383333333333326</v>
      </c>
      <c r="O81" s="14"/>
      <c r="P81" s="1">
        <f>SUM(OSRRefP22_2x_0)</f>
        <v>5673.12</v>
      </c>
      <c r="Q81" s="1"/>
      <c r="R81" s="5">
        <f t="shared" ref="R81:R89" si="34">IF(P$12=0,0,P81/P$12)</f>
        <v>1.2258836347194787E-3</v>
      </c>
      <c r="S81" s="1"/>
      <c r="T81" s="1">
        <f>SUM(OSRRefT22_2x_0)</f>
        <v>6100</v>
      </c>
      <c r="U81" s="1"/>
      <c r="V81" s="5">
        <f t="shared" ref="V81:V89" si="35">IF(T$12=0,0,T81/T$12)</f>
        <v>9.9328894905795499E-4</v>
      </c>
      <c r="W81" s="1"/>
      <c r="X81" s="1">
        <f t="shared" ref="X81:X89" si="36">+P81-T81</f>
        <v>-426.88000000000011</v>
      </c>
      <c r="Y81" s="1"/>
      <c r="Z81" s="5">
        <f t="shared" ref="Z81:Z89" si="37">IF(T81=0,0,X81/T81)</f>
        <v>-6.9980327868852471E-2</v>
      </c>
    </row>
    <row r="82" spans="1:26" s="24" customFormat="1" hidden="1" outlineLevel="2" x14ac:dyDescent="0.3">
      <c r="A82" s="29"/>
      <c r="B82" s="11" t="str">
        <f>CONCATENATE("          ", "6362", " - ", "ADVERTISING EXPENSE")</f>
        <v xml:space="preserve">          6362 - ADVERTISING EXPENSE</v>
      </c>
      <c r="C82" s="11"/>
      <c r="D82" s="6">
        <v>722.3</v>
      </c>
      <c r="E82" s="2"/>
      <c r="F82" s="7">
        <f t="shared" si="30"/>
        <v>1.1433045604587538E-3</v>
      </c>
      <c r="G82" s="2"/>
      <c r="H82" s="6">
        <v>600</v>
      </c>
      <c r="I82" s="2"/>
      <c r="J82" s="7">
        <f t="shared" si="31"/>
        <v>1.2563287561088985E-3</v>
      </c>
      <c r="K82" s="2"/>
      <c r="L82" s="6">
        <f t="shared" si="32"/>
        <v>122.29999999999995</v>
      </c>
      <c r="M82" s="2"/>
      <c r="N82" s="7">
        <f t="shared" si="33"/>
        <v>0.20383333333333326</v>
      </c>
      <c r="O82" s="11"/>
      <c r="P82" s="6">
        <v>5673.12</v>
      </c>
      <c r="Q82" s="2"/>
      <c r="R82" s="7">
        <f t="shared" si="34"/>
        <v>1.2258836347194787E-3</v>
      </c>
      <c r="S82" s="2"/>
      <c r="T82" s="6">
        <v>6100</v>
      </c>
      <c r="U82" s="2"/>
      <c r="V82" s="7">
        <f t="shared" si="35"/>
        <v>9.9328894905795499E-4</v>
      </c>
      <c r="W82" s="2"/>
      <c r="X82" s="6">
        <f t="shared" si="36"/>
        <v>-426.88000000000011</v>
      </c>
      <c r="Y82" s="2"/>
      <c r="Z82" s="7">
        <f t="shared" si="37"/>
        <v>-6.9980327868852471E-2</v>
      </c>
    </row>
    <row r="83" spans="1:26" s="28" customFormat="1" outlineLevel="1" collapsed="1" x14ac:dyDescent="0.3">
      <c r="A83" s="27"/>
      <c r="B83" s="14" t="str">
        <f>CONCATENATE("     ","Bad Debts/Over/Short                              ")</f>
        <v xml:space="preserve">     Bad Debts/Over/Short                              </v>
      </c>
      <c r="C83" s="14"/>
      <c r="D83" s="1">
        <f>SUM(OSRRefD22_3x_0)</f>
        <v>-24.66</v>
      </c>
      <c r="E83" s="1"/>
      <c r="F83" s="5">
        <f t="shared" si="30"/>
        <v>-3.9033490877631E-5</v>
      </c>
      <c r="G83" s="1"/>
      <c r="H83" s="1">
        <f>SUM(OSRRefH22_3x_0)</f>
        <v>235</v>
      </c>
      <c r="I83" s="1"/>
      <c r="J83" s="5">
        <f t="shared" si="31"/>
        <v>4.9206209614265192E-4</v>
      </c>
      <c r="K83" s="1"/>
      <c r="L83" s="1">
        <f t="shared" si="32"/>
        <v>-259.66000000000003</v>
      </c>
      <c r="M83" s="1"/>
      <c r="N83" s="5">
        <f t="shared" si="33"/>
        <v>-1.104936170212766</v>
      </c>
      <c r="O83" s="14"/>
      <c r="P83" s="1">
        <f>SUM(OSRRefP22_3x_0)</f>
        <v>153.06</v>
      </c>
      <c r="Q83" s="1"/>
      <c r="R83" s="5">
        <f t="shared" si="34"/>
        <v>3.3074172436007593E-5</v>
      </c>
      <c r="S83" s="1"/>
      <c r="T83" s="1">
        <f>SUM(OSRRefT22_3x_0)</f>
        <v>1410</v>
      </c>
      <c r="U83" s="1"/>
      <c r="V83" s="5">
        <f t="shared" si="35"/>
        <v>2.2959629806093714E-4</v>
      </c>
      <c r="W83" s="1"/>
      <c r="X83" s="1">
        <f t="shared" si="36"/>
        <v>-1256.94</v>
      </c>
      <c r="Y83" s="1"/>
      <c r="Z83" s="5">
        <f t="shared" si="37"/>
        <v>-0.89144680851063829</v>
      </c>
    </row>
    <row r="84" spans="1:26" s="24" customFormat="1" hidden="1" outlineLevel="2" x14ac:dyDescent="0.3">
      <c r="A84" s="29"/>
      <c r="B84" s="11" t="str">
        <f>CONCATENATE("          ", "6272", " - ", "CASH (OVER/SHORT)")</f>
        <v xml:space="preserve">          6272 - CASH (OVER/SHORT)</v>
      </c>
      <c r="C84" s="11"/>
      <c r="D84" s="6">
        <v>-24.66</v>
      </c>
      <c r="E84" s="2"/>
      <c r="F84" s="7">
        <f t="shared" si="30"/>
        <v>-3.9033490877631E-5</v>
      </c>
      <c r="G84" s="2"/>
      <c r="H84" s="6">
        <v>235</v>
      </c>
      <c r="I84" s="2"/>
      <c r="J84" s="7">
        <f t="shared" si="31"/>
        <v>4.9206209614265192E-4</v>
      </c>
      <c r="K84" s="2"/>
      <c r="L84" s="6">
        <f t="shared" si="32"/>
        <v>-259.66000000000003</v>
      </c>
      <c r="M84" s="2"/>
      <c r="N84" s="7">
        <f t="shared" si="33"/>
        <v>-1.104936170212766</v>
      </c>
      <c r="O84" s="11"/>
      <c r="P84" s="6">
        <v>153.06</v>
      </c>
      <c r="Q84" s="2"/>
      <c r="R84" s="7">
        <f t="shared" si="34"/>
        <v>3.3074172436007593E-5</v>
      </c>
      <c r="S84" s="2"/>
      <c r="T84" s="6">
        <v>1410</v>
      </c>
      <c r="U84" s="2"/>
      <c r="V84" s="7">
        <f t="shared" si="35"/>
        <v>2.2959629806093714E-4</v>
      </c>
      <c r="W84" s="2"/>
      <c r="X84" s="6">
        <f t="shared" si="36"/>
        <v>-1256.94</v>
      </c>
      <c r="Y84" s="2"/>
      <c r="Z84" s="7">
        <f t="shared" si="37"/>
        <v>-0.89144680851063829</v>
      </c>
    </row>
    <row r="85" spans="1:26" s="28" customFormat="1" outlineLevel="1" collapsed="1" x14ac:dyDescent="0.3">
      <c r="A85" s="27"/>
      <c r="B85" s="14" t="str">
        <f>CONCATENATE("     ","Bank/card Fees                                    ")</f>
        <v xml:space="preserve">     Bank/card Fees                                    </v>
      </c>
      <c r="C85" s="14"/>
      <c r="D85" s="1">
        <f>SUM(OSRRefD22_4x_0)</f>
        <v>9159.44</v>
      </c>
      <c r="E85" s="1"/>
      <c r="F85" s="5">
        <f t="shared" si="30"/>
        <v>1.4498171844452901E-2</v>
      </c>
      <c r="G85" s="1"/>
      <c r="H85" s="1">
        <f>SUM(OSRRefH22_4x_0)</f>
        <v>7972</v>
      </c>
      <c r="I85" s="1"/>
      <c r="J85" s="5">
        <f t="shared" si="31"/>
        <v>1.6692421406166898E-2</v>
      </c>
      <c r="K85" s="1"/>
      <c r="L85" s="1">
        <f t="shared" si="32"/>
        <v>1187.4400000000005</v>
      </c>
      <c r="M85" s="1"/>
      <c r="N85" s="5">
        <f t="shared" si="33"/>
        <v>0.14895132965378832</v>
      </c>
      <c r="O85" s="14"/>
      <c r="P85" s="1">
        <f>SUM(OSRRefP22_4x_0)</f>
        <v>67366.59</v>
      </c>
      <c r="Q85" s="1"/>
      <c r="R85" s="5">
        <f t="shared" si="34"/>
        <v>1.4556998654683292E-2</v>
      </c>
      <c r="S85" s="1"/>
      <c r="T85" s="1">
        <f>SUM(OSRRefT22_4x_0)</f>
        <v>100577</v>
      </c>
      <c r="U85" s="1"/>
      <c r="V85" s="5">
        <f t="shared" si="35"/>
        <v>1.6377380758918352E-2</v>
      </c>
      <c r="W85" s="1"/>
      <c r="X85" s="1">
        <f t="shared" si="36"/>
        <v>-33210.410000000003</v>
      </c>
      <c r="Y85" s="1"/>
      <c r="Z85" s="5">
        <f t="shared" si="37"/>
        <v>-0.33019885262038046</v>
      </c>
    </row>
    <row r="86" spans="1:26" s="24" customFormat="1" hidden="1" outlineLevel="2" x14ac:dyDescent="0.3">
      <c r="A86" s="29"/>
      <c r="B86" s="11" t="str">
        <f>CONCATENATE("          ", "6381", " - ", "BANK/CREDIT CARD FEES")</f>
        <v xml:space="preserve">          6381 - BANK/CREDIT CARD FEES</v>
      </c>
      <c r="C86" s="11"/>
      <c r="D86" s="6">
        <v>9159.44</v>
      </c>
      <c r="E86" s="2"/>
      <c r="F86" s="7">
        <f t="shared" si="30"/>
        <v>1.4498171844452901E-2</v>
      </c>
      <c r="G86" s="2"/>
      <c r="H86" s="6">
        <v>7972</v>
      </c>
      <c r="I86" s="2"/>
      <c r="J86" s="7">
        <f t="shared" si="31"/>
        <v>1.6692421406166898E-2</v>
      </c>
      <c r="K86" s="2"/>
      <c r="L86" s="6">
        <f t="shared" si="32"/>
        <v>1187.4400000000005</v>
      </c>
      <c r="M86" s="2"/>
      <c r="N86" s="7">
        <f t="shared" si="33"/>
        <v>0.14895132965378832</v>
      </c>
      <c r="O86" s="11"/>
      <c r="P86" s="6">
        <v>67366.59</v>
      </c>
      <c r="Q86" s="2"/>
      <c r="R86" s="7">
        <f t="shared" si="34"/>
        <v>1.4556998654683292E-2</v>
      </c>
      <c r="S86" s="2"/>
      <c r="T86" s="6">
        <v>100577</v>
      </c>
      <c r="U86" s="2"/>
      <c r="V86" s="7">
        <f t="shared" si="35"/>
        <v>1.6377380758918352E-2</v>
      </c>
      <c r="W86" s="2"/>
      <c r="X86" s="6">
        <f t="shared" si="36"/>
        <v>-33210.410000000003</v>
      </c>
      <c r="Y86" s="2"/>
      <c r="Z86" s="7">
        <f t="shared" si="37"/>
        <v>-0.33019885262038046</v>
      </c>
    </row>
    <row r="87" spans="1:26" s="28" customFormat="1" outlineLevel="1" collapsed="1" x14ac:dyDescent="0.3">
      <c r="A87" s="27"/>
      <c r="B87" s="14" t="str">
        <f>CONCATENATE("     ","Depreciation                                      ")</f>
        <v xml:space="preserve">     Depreciation                                      </v>
      </c>
      <c r="C87" s="14"/>
      <c r="D87" s="1">
        <f>SUM(OSRRefD22_5x_0)</f>
        <v>30895.279999999999</v>
      </c>
      <c r="E87" s="1"/>
      <c r="F87" s="5">
        <f t="shared" si="30"/>
        <v>4.8903107463173376E-2</v>
      </c>
      <c r="G87" s="1"/>
      <c r="H87" s="1">
        <f>SUM(OSRRefH22_5x_0)</f>
        <v>30494</v>
      </c>
      <c r="I87" s="1"/>
      <c r="J87" s="5">
        <f t="shared" si="31"/>
        <v>6.3850815147974582E-2</v>
      </c>
      <c r="K87" s="1"/>
      <c r="L87" s="1">
        <f t="shared" si="32"/>
        <v>401.27999999999884</v>
      </c>
      <c r="M87" s="1"/>
      <c r="N87" s="5">
        <f t="shared" si="33"/>
        <v>1.3159310028202231E-2</v>
      </c>
      <c r="O87" s="14"/>
      <c r="P87" s="1">
        <f>SUM(OSRRefP22_5x_0)</f>
        <v>185689.22999999998</v>
      </c>
      <c r="Q87" s="1"/>
      <c r="R87" s="5">
        <f t="shared" si="34"/>
        <v>4.0124902734414436E-2</v>
      </c>
      <c r="S87" s="1"/>
      <c r="T87" s="1">
        <f>SUM(OSRRefT22_5x_0)</f>
        <v>183281</v>
      </c>
      <c r="U87" s="1"/>
      <c r="V87" s="5">
        <f t="shared" si="35"/>
        <v>2.9844424897096895E-2</v>
      </c>
      <c r="W87" s="1"/>
      <c r="X87" s="1">
        <f t="shared" si="36"/>
        <v>2408.2299999999814</v>
      </c>
      <c r="Y87" s="1"/>
      <c r="Z87" s="5">
        <f t="shared" si="37"/>
        <v>1.3139550744485142E-2</v>
      </c>
    </row>
    <row r="88" spans="1:26" s="24" customFormat="1" hidden="1" outlineLevel="2" x14ac:dyDescent="0.3">
      <c r="A88" s="29"/>
      <c r="B88" s="11" t="str">
        <f>CONCATENATE("          ", "6321", " - ", "BUILDING DEPRECIATION")</f>
        <v xml:space="preserve">          6321 - BUILDING DEPRECIATION</v>
      </c>
      <c r="C88" s="11"/>
      <c r="D88" s="6">
        <v>16396.509999999998</v>
      </c>
      <c r="E88" s="2"/>
      <c r="F88" s="7">
        <f t="shared" si="30"/>
        <v>2.5953488382400056E-2</v>
      </c>
      <c r="G88" s="2"/>
      <c r="H88" s="6"/>
      <c r="I88" s="2"/>
      <c r="J88" s="7">
        <f t="shared" si="31"/>
        <v>0</v>
      </c>
      <c r="K88" s="2"/>
      <c r="L88" s="6">
        <f t="shared" si="32"/>
        <v>16396.509999999998</v>
      </c>
      <c r="M88" s="2"/>
      <c r="N88" s="7">
        <f t="shared" si="33"/>
        <v>0</v>
      </c>
      <c r="O88" s="11"/>
      <c r="P88" s="6">
        <v>98379.11</v>
      </c>
      <c r="Q88" s="2"/>
      <c r="R88" s="7">
        <f t="shared" si="34"/>
        <v>2.1258380035547884E-2</v>
      </c>
      <c r="S88" s="2"/>
      <c r="T88" s="6"/>
      <c r="U88" s="2"/>
      <c r="V88" s="7">
        <f t="shared" si="35"/>
        <v>0</v>
      </c>
      <c r="W88" s="2"/>
      <c r="X88" s="6">
        <f t="shared" si="36"/>
        <v>98379.11</v>
      </c>
      <c r="Y88" s="2"/>
      <c r="Z88" s="7">
        <f t="shared" si="37"/>
        <v>0</v>
      </c>
    </row>
    <row r="89" spans="1:26" s="24" customFormat="1" hidden="1" outlineLevel="2" x14ac:dyDescent="0.3">
      <c r="A89" s="29"/>
      <c r="B89" s="11" t="str">
        <f>CONCATENATE("          ", "6322", " - ", "EQUIPMENT DEPRECIATION EXPENSE")</f>
        <v xml:space="preserve">          6322 - EQUIPMENT DEPRECIATION EXPENSE</v>
      </c>
      <c r="C89" s="11"/>
      <c r="D89" s="6">
        <v>14498.77</v>
      </c>
      <c r="E89" s="2"/>
      <c r="F89" s="7">
        <f t="shared" si="30"/>
        <v>2.294961908077332E-2</v>
      </c>
      <c r="G89" s="2"/>
      <c r="H89" s="6">
        <v>30494</v>
      </c>
      <c r="I89" s="2"/>
      <c r="J89" s="7">
        <f t="shared" si="31"/>
        <v>6.3850815147974582E-2</v>
      </c>
      <c r="K89" s="2"/>
      <c r="L89" s="6">
        <f t="shared" si="32"/>
        <v>-15995.23</v>
      </c>
      <c r="M89" s="2"/>
      <c r="N89" s="7">
        <f t="shared" si="33"/>
        <v>-0.52453695809011602</v>
      </c>
      <c r="O89" s="11"/>
      <c r="P89" s="6">
        <v>87310.12</v>
      </c>
      <c r="Q89" s="2"/>
      <c r="R89" s="7">
        <f t="shared" si="34"/>
        <v>1.8866522698866559E-2</v>
      </c>
      <c r="S89" s="2"/>
      <c r="T89" s="6">
        <v>183281</v>
      </c>
      <c r="U89" s="2"/>
      <c r="V89" s="7">
        <f t="shared" si="35"/>
        <v>2.9844424897096895E-2</v>
      </c>
      <c r="W89" s="2"/>
      <c r="X89" s="6">
        <f t="shared" si="36"/>
        <v>-95970.880000000005</v>
      </c>
      <c r="Y89" s="2"/>
      <c r="Z89" s="7">
        <f t="shared" si="37"/>
        <v>-0.52362699897970877</v>
      </c>
    </row>
    <row r="90" spans="1:26" s="28" customFormat="1" outlineLevel="1" collapsed="1" x14ac:dyDescent="0.3">
      <c r="A90" s="27"/>
      <c r="B90" s="14" t="str">
        <f>CONCATENATE("     ","Discounts and Markdowns                           ")</f>
        <v xml:space="preserve">     Discounts and Markdowns                           </v>
      </c>
      <c r="C90" s="14"/>
      <c r="D90" s="1">
        <f>SUM(OSRRefD22_6x_0)</f>
        <v>11.17</v>
      </c>
      <c r="E90" s="1"/>
      <c r="F90" s="5">
        <f t="shared" ref="F90:F92" si="38">IF(D$12=0,0,D90/D$12)</f>
        <v>1.7680620158278114E-5</v>
      </c>
      <c r="G90" s="1"/>
      <c r="H90" s="1">
        <f>SUM(OSRRefH22_6x_0)</f>
        <v>0</v>
      </c>
      <c r="I90" s="1"/>
      <c r="J90" s="5">
        <f t="shared" ref="J90:J92" si="39">IF(H$12=0,0,H90/H$12)</f>
        <v>0</v>
      </c>
      <c r="K90" s="1"/>
      <c r="L90" s="1">
        <f t="shared" ref="L90:L92" si="40">+D90-H90</f>
        <v>11.17</v>
      </c>
      <c r="M90" s="1"/>
      <c r="N90" s="5">
        <f t="shared" ref="N90:N92" si="41">IF(H90=0,0,L90/H90)</f>
        <v>0</v>
      </c>
      <c r="O90" s="14"/>
      <c r="P90" s="1">
        <f>SUM(OSRRefP22_6x_0)</f>
        <v>3354.8</v>
      </c>
      <c r="Q90" s="1"/>
      <c r="R90" s="5">
        <f t="shared" ref="R90:R92" si="42">IF(P$12=0,0,P90/P$12)</f>
        <v>7.2492639284148881E-4</v>
      </c>
      <c r="S90" s="1"/>
      <c r="T90" s="1">
        <f>SUM(OSRRefT22_6x_0)</f>
        <v>0</v>
      </c>
      <c r="U90" s="1"/>
      <c r="V90" s="5">
        <f t="shared" ref="V90:V92" si="43">IF(T$12=0,0,T90/T$12)</f>
        <v>0</v>
      </c>
      <c r="W90" s="1"/>
      <c r="X90" s="1">
        <f t="shared" ref="X90:X92" si="44">+P90-T90</f>
        <v>3354.8</v>
      </c>
      <c r="Y90" s="1"/>
      <c r="Z90" s="5">
        <f t="shared" ref="Z90:Z92" si="45">IF(T90=0,0,X90/T90)</f>
        <v>0</v>
      </c>
    </row>
    <row r="91" spans="1:26" s="24" customFormat="1" hidden="1" outlineLevel="2" x14ac:dyDescent="0.3">
      <c r="A91" s="29"/>
      <c r="B91" s="11" t="str">
        <f>CONCATENATE("          ", "6382", " - ", "DISCOUNTS/MARK DOWNS")</f>
        <v xml:space="preserve">          6382 - DISCOUNTS/MARK DOWNS</v>
      </c>
      <c r="C91" s="11"/>
      <c r="D91" s="6"/>
      <c r="E91" s="2"/>
      <c r="F91" s="7">
        <f t="shared" si="38"/>
        <v>0</v>
      </c>
      <c r="G91" s="2"/>
      <c r="H91" s="6"/>
      <c r="I91" s="2"/>
      <c r="J91" s="7">
        <f t="shared" si="39"/>
        <v>0</v>
      </c>
      <c r="K91" s="2"/>
      <c r="L91" s="6">
        <f t="shared" si="40"/>
        <v>0</v>
      </c>
      <c r="M91" s="2"/>
      <c r="N91" s="7">
        <f t="shared" si="41"/>
        <v>0</v>
      </c>
      <c r="O91" s="11"/>
      <c r="P91" s="6">
        <v>3410</v>
      </c>
      <c r="Q91" s="2"/>
      <c r="R91" s="7">
        <f t="shared" si="42"/>
        <v>7.3685435781253037E-4</v>
      </c>
      <c r="S91" s="2"/>
      <c r="T91" s="6">
        <v>0</v>
      </c>
      <c r="U91" s="2"/>
      <c r="V91" s="7">
        <f t="shared" si="43"/>
        <v>0</v>
      </c>
      <c r="W91" s="2"/>
      <c r="X91" s="6">
        <f t="shared" si="44"/>
        <v>3410</v>
      </c>
      <c r="Y91" s="2"/>
      <c r="Z91" s="7">
        <f t="shared" si="45"/>
        <v>0</v>
      </c>
    </row>
    <row r="92" spans="1:26" s="24" customFormat="1" hidden="1" outlineLevel="2" x14ac:dyDescent="0.3">
      <c r="A92" s="29"/>
      <c r="B92" s="11" t="str">
        <f>CONCATENATE("          ", "9175", " - ", "EARNED DISCOUNTS")</f>
        <v xml:space="preserve">          9175 - EARNED DISCOUNTS</v>
      </c>
      <c r="C92" s="11"/>
      <c r="D92" s="6">
        <v>11.17</v>
      </c>
      <c r="E92" s="2"/>
      <c r="F92" s="7">
        <f t="shared" si="38"/>
        <v>1.7680620158278114E-5</v>
      </c>
      <c r="G92" s="2"/>
      <c r="H92" s="6"/>
      <c r="I92" s="2"/>
      <c r="J92" s="7">
        <f t="shared" si="39"/>
        <v>0</v>
      </c>
      <c r="K92" s="2"/>
      <c r="L92" s="6">
        <f t="shared" si="40"/>
        <v>11.17</v>
      </c>
      <c r="M92" s="2"/>
      <c r="N92" s="7">
        <f t="shared" si="41"/>
        <v>0</v>
      </c>
      <c r="O92" s="11"/>
      <c r="P92" s="6">
        <v>-55.2</v>
      </c>
      <c r="Q92" s="2"/>
      <c r="R92" s="7">
        <f t="shared" si="42"/>
        <v>-1.1927964971041547E-5</v>
      </c>
      <c r="S92" s="2"/>
      <c r="T92" s="6"/>
      <c r="U92" s="2"/>
      <c r="V92" s="7">
        <f t="shared" si="43"/>
        <v>0</v>
      </c>
      <c r="W92" s="2"/>
      <c r="X92" s="6">
        <f t="shared" si="44"/>
        <v>-55.2</v>
      </c>
      <c r="Y92" s="2"/>
      <c r="Z92" s="7">
        <f t="shared" si="45"/>
        <v>0</v>
      </c>
    </row>
    <row r="93" spans="1:26" s="28" customFormat="1" outlineLevel="1" collapsed="1" x14ac:dyDescent="0.3">
      <c r="A93" s="27"/>
      <c r="B93" s="14" t="str">
        <f>CONCATENATE("     ","Donations                                         ")</f>
        <v xml:space="preserve">     Donations                                         </v>
      </c>
      <c r="C93" s="14"/>
      <c r="D93" s="1">
        <f>SUM(OSRRefD22_7x_0)</f>
        <v>0</v>
      </c>
      <c r="E93" s="1"/>
      <c r="F93" s="5">
        <f t="shared" ref="F93:F101" si="46">IF(D$12=0,0,D93/D$12)</f>
        <v>0</v>
      </c>
      <c r="G93" s="1"/>
      <c r="H93" s="1">
        <f>SUM(OSRRefH22_7x_0)</f>
        <v>1250</v>
      </c>
      <c r="I93" s="1"/>
      <c r="J93" s="5">
        <f t="shared" ref="J93:J101" si="47">IF(H$12=0,0,H93/H$12)</f>
        <v>2.6173515752268722E-3</v>
      </c>
      <c r="K93" s="1"/>
      <c r="L93" s="1">
        <f t="shared" ref="L93:L101" si="48">+D93-H93</f>
        <v>-1250</v>
      </c>
      <c r="M93" s="1"/>
      <c r="N93" s="5">
        <f t="shared" ref="N93:N101" si="49">IF(H93=0,0,L93/H93)</f>
        <v>-1</v>
      </c>
      <c r="O93" s="14"/>
      <c r="P93" s="1">
        <f>SUM(OSRRefP22_7x_0)</f>
        <v>2820.22</v>
      </c>
      <c r="Q93" s="1"/>
      <c r="R93" s="5">
        <f t="shared" ref="R93:R101" si="50">IF(P$12=0,0,P93/P$12)</f>
        <v>6.0941096685925347E-4</v>
      </c>
      <c r="S93" s="1"/>
      <c r="T93" s="1">
        <f>SUM(OSRRefT22_7x_0)</f>
        <v>7500</v>
      </c>
      <c r="U93" s="1"/>
      <c r="V93" s="5">
        <f t="shared" ref="V93:V101" si="51">IF(T$12=0,0,T93/T$12)</f>
        <v>1.2212569045794528E-3</v>
      </c>
      <c r="W93" s="1"/>
      <c r="X93" s="1">
        <f t="shared" ref="X93:X101" si="52">+P93-T93</f>
        <v>-4679.7800000000007</v>
      </c>
      <c r="Y93" s="1"/>
      <c r="Z93" s="5">
        <f t="shared" ref="Z93:Z101" si="53">IF(T93=0,0,X93/T93)</f>
        <v>-0.62397066666666678</v>
      </c>
    </row>
    <row r="94" spans="1:26" s="24" customFormat="1" hidden="1" outlineLevel="2" x14ac:dyDescent="0.3">
      <c r="A94" s="29"/>
      <c r="B94" s="11" t="str">
        <f>CONCATENATE("          ", "6399", " - ", "DONATION-ON CAMPUS")</f>
        <v xml:space="preserve">          6399 - DONATION-ON CAMPUS</v>
      </c>
      <c r="C94" s="11"/>
      <c r="D94" s="6"/>
      <c r="E94" s="2"/>
      <c r="F94" s="7">
        <f t="shared" si="46"/>
        <v>0</v>
      </c>
      <c r="G94" s="2"/>
      <c r="H94" s="6">
        <v>1250</v>
      </c>
      <c r="I94" s="2"/>
      <c r="J94" s="7">
        <f t="shared" si="47"/>
        <v>2.6173515752268722E-3</v>
      </c>
      <c r="K94" s="2"/>
      <c r="L94" s="6">
        <f t="shared" si="48"/>
        <v>-1250</v>
      </c>
      <c r="M94" s="2"/>
      <c r="N94" s="7">
        <f t="shared" si="49"/>
        <v>-1</v>
      </c>
      <c r="O94" s="11"/>
      <c r="P94" s="6">
        <v>2820.22</v>
      </c>
      <c r="Q94" s="2"/>
      <c r="R94" s="7">
        <f t="shared" si="50"/>
        <v>6.0941096685925347E-4</v>
      </c>
      <c r="S94" s="2"/>
      <c r="T94" s="6">
        <v>7500</v>
      </c>
      <c r="U94" s="2"/>
      <c r="V94" s="7">
        <f t="shared" si="51"/>
        <v>1.2212569045794528E-3</v>
      </c>
      <c r="W94" s="2"/>
      <c r="X94" s="6">
        <f t="shared" si="52"/>
        <v>-4679.7800000000007</v>
      </c>
      <c r="Y94" s="2"/>
      <c r="Z94" s="7">
        <f t="shared" si="53"/>
        <v>-0.62397066666666678</v>
      </c>
    </row>
    <row r="95" spans="1:26" s="28" customFormat="1" outlineLevel="1" collapsed="1" x14ac:dyDescent="0.3">
      <c r="A95" s="27"/>
      <c r="B95" s="14" t="str">
        <f>CONCATENATE("     ","Employees' Appreciation                           ")</f>
        <v xml:space="preserve">     Employees' Appreciation                           </v>
      </c>
      <c r="C95" s="14"/>
      <c r="D95" s="1">
        <f>SUM(OSRRefD22_8x_0)</f>
        <v>949.16</v>
      </c>
      <c r="E95" s="1"/>
      <c r="F95" s="5">
        <f t="shared" si="46"/>
        <v>1.5023936821335052E-3</v>
      </c>
      <c r="G95" s="1"/>
      <c r="H95" s="1">
        <f>SUM(OSRRefH22_8x_0)</f>
        <v>245</v>
      </c>
      <c r="I95" s="1"/>
      <c r="J95" s="5">
        <f t="shared" si="47"/>
        <v>5.1300090874446694E-4</v>
      </c>
      <c r="K95" s="1"/>
      <c r="L95" s="1">
        <f t="shared" si="48"/>
        <v>704.16</v>
      </c>
      <c r="M95" s="1"/>
      <c r="N95" s="5">
        <f t="shared" si="49"/>
        <v>2.8741224489795916</v>
      </c>
      <c r="O95" s="14"/>
      <c r="P95" s="1">
        <f>SUM(OSRRefP22_8x_0)</f>
        <v>2823.81</v>
      </c>
      <c r="Q95" s="1"/>
      <c r="R95" s="5">
        <f t="shared" si="50"/>
        <v>6.1018671675501502E-4</v>
      </c>
      <c r="S95" s="1"/>
      <c r="T95" s="1">
        <f>SUM(OSRRefT22_8x_0)</f>
        <v>1470</v>
      </c>
      <c r="U95" s="1"/>
      <c r="V95" s="5">
        <f t="shared" si="51"/>
        <v>2.3936635329757275E-4</v>
      </c>
      <c r="W95" s="1"/>
      <c r="X95" s="1">
        <f t="shared" si="52"/>
        <v>1353.81</v>
      </c>
      <c r="Y95" s="1"/>
      <c r="Z95" s="5">
        <f t="shared" si="53"/>
        <v>0.92095918367346941</v>
      </c>
    </row>
    <row r="96" spans="1:26" s="24" customFormat="1" hidden="1" outlineLevel="2" x14ac:dyDescent="0.3">
      <c r="A96" s="29"/>
      <c r="B96" s="11" t="str">
        <f>CONCATENATE("          ", "6277", " - ", "EMPLOYEE APPRECIATION")</f>
        <v xml:space="preserve">          6277 - EMPLOYEE APPRECIATION</v>
      </c>
      <c r="C96" s="11"/>
      <c r="D96" s="6">
        <v>949.16</v>
      </c>
      <c r="E96" s="2"/>
      <c r="F96" s="7">
        <f t="shared" si="46"/>
        <v>1.5023936821335052E-3</v>
      </c>
      <c r="G96" s="2"/>
      <c r="H96" s="6">
        <v>245</v>
      </c>
      <c r="I96" s="2"/>
      <c r="J96" s="7">
        <f t="shared" si="47"/>
        <v>5.1300090874446694E-4</v>
      </c>
      <c r="K96" s="2"/>
      <c r="L96" s="6">
        <f t="shared" si="48"/>
        <v>704.16</v>
      </c>
      <c r="M96" s="2"/>
      <c r="N96" s="7">
        <f t="shared" si="49"/>
        <v>2.8741224489795916</v>
      </c>
      <c r="O96" s="11"/>
      <c r="P96" s="6">
        <v>2823.81</v>
      </c>
      <c r="Q96" s="2"/>
      <c r="R96" s="7">
        <f t="shared" si="50"/>
        <v>6.1018671675501502E-4</v>
      </c>
      <c r="S96" s="2"/>
      <c r="T96" s="6">
        <v>1470</v>
      </c>
      <c r="U96" s="2"/>
      <c r="V96" s="7">
        <f t="shared" si="51"/>
        <v>2.3936635329757275E-4</v>
      </c>
      <c r="W96" s="2"/>
      <c r="X96" s="6">
        <f t="shared" si="52"/>
        <v>1353.81</v>
      </c>
      <c r="Y96" s="2"/>
      <c r="Z96" s="7">
        <f t="shared" si="53"/>
        <v>0.92095918367346941</v>
      </c>
    </row>
    <row r="97" spans="1:26" s="28" customFormat="1" outlineLevel="1" collapsed="1" x14ac:dyDescent="0.3">
      <c r="A97" s="27"/>
      <c r="B97" s="14" t="str">
        <f>CONCATENATE("     ","Equipment Rental                                  ")</f>
        <v xml:space="preserve">     Equipment Rental                                  </v>
      </c>
      <c r="C97" s="14"/>
      <c r="D97" s="1">
        <f>SUM(OSRRefD22_9x_0)</f>
        <v>1507.07</v>
      </c>
      <c r="E97" s="1"/>
      <c r="F97" s="5">
        <f t="shared" si="46"/>
        <v>2.3854907987409307E-3</v>
      </c>
      <c r="G97" s="1"/>
      <c r="H97" s="1">
        <f>SUM(OSRRefH22_9x_0)</f>
        <v>1700</v>
      </c>
      <c r="I97" s="1"/>
      <c r="J97" s="5">
        <f t="shared" si="47"/>
        <v>3.5595981423085458E-3</v>
      </c>
      <c r="K97" s="1"/>
      <c r="L97" s="1">
        <f t="shared" si="48"/>
        <v>-192.93000000000006</v>
      </c>
      <c r="M97" s="1"/>
      <c r="N97" s="5">
        <f t="shared" si="49"/>
        <v>-0.11348823529411768</v>
      </c>
      <c r="O97" s="14"/>
      <c r="P97" s="1">
        <f>SUM(OSRRefP22_9x_0)</f>
        <v>9830.52</v>
      </c>
      <c r="Q97" s="1"/>
      <c r="R97" s="5">
        <f t="shared" si="50"/>
        <v>2.1242409095493359E-3</v>
      </c>
      <c r="S97" s="1"/>
      <c r="T97" s="1">
        <f>SUM(OSRRefT22_9x_0)</f>
        <v>10000</v>
      </c>
      <c r="U97" s="1"/>
      <c r="V97" s="5">
        <f t="shared" si="51"/>
        <v>1.6283425394392705E-3</v>
      </c>
      <c r="W97" s="1"/>
      <c r="X97" s="1">
        <f t="shared" si="52"/>
        <v>-169.47999999999956</v>
      </c>
      <c r="Y97" s="1"/>
      <c r="Z97" s="5">
        <f t="shared" si="53"/>
        <v>-1.6947999999999956E-2</v>
      </c>
    </row>
    <row r="98" spans="1:26" s="24" customFormat="1" hidden="1" outlineLevel="2" x14ac:dyDescent="0.3">
      <c r="A98" s="29"/>
      <c r="B98" s="11" t="str">
        <f>CONCATENATE("          ", "6351", " - ", "EQUIPMENT RENTAL")</f>
        <v xml:space="preserve">          6351 - EQUIPMENT RENTAL</v>
      </c>
      <c r="C98" s="11"/>
      <c r="D98" s="6">
        <v>1507.07</v>
      </c>
      <c r="E98" s="2"/>
      <c r="F98" s="7">
        <f t="shared" si="46"/>
        <v>2.3854907987409307E-3</v>
      </c>
      <c r="G98" s="2"/>
      <c r="H98" s="6">
        <v>1700</v>
      </c>
      <c r="I98" s="2"/>
      <c r="J98" s="7">
        <f t="shared" si="47"/>
        <v>3.5595981423085458E-3</v>
      </c>
      <c r="K98" s="2"/>
      <c r="L98" s="6">
        <f t="shared" si="48"/>
        <v>-192.93000000000006</v>
      </c>
      <c r="M98" s="2"/>
      <c r="N98" s="7">
        <f t="shared" si="49"/>
        <v>-0.11348823529411768</v>
      </c>
      <c r="O98" s="11"/>
      <c r="P98" s="6">
        <v>9830.52</v>
      </c>
      <c r="Q98" s="2"/>
      <c r="R98" s="7">
        <f t="shared" si="50"/>
        <v>2.1242409095493359E-3</v>
      </c>
      <c r="S98" s="2"/>
      <c r="T98" s="6">
        <v>10000</v>
      </c>
      <c r="U98" s="2"/>
      <c r="V98" s="7">
        <f t="shared" si="51"/>
        <v>1.6283425394392705E-3</v>
      </c>
      <c r="W98" s="2"/>
      <c r="X98" s="6">
        <f t="shared" si="52"/>
        <v>-169.47999999999956</v>
      </c>
      <c r="Y98" s="2"/>
      <c r="Z98" s="7">
        <f t="shared" si="53"/>
        <v>-1.6947999999999956E-2</v>
      </c>
    </row>
    <row r="99" spans="1:26" s="28" customFormat="1" outlineLevel="1" collapsed="1" x14ac:dyDescent="0.3">
      <c r="A99" s="27"/>
      <c r="B99" s="14" t="str">
        <f>CONCATENATE("     ","Freight out/Postage                               ")</f>
        <v xml:space="preserve">     Freight out/Postage                               </v>
      </c>
      <c r="C99" s="14"/>
      <c r="D99" s="1">
        <f>SUM(OSRRefD22_10x_0)</f>
        <v>-2180.9800000000014</v>
      </c>
      <c r="E99" s="1"/>
      <c r="F99" s="5">
        <f t="shared" si="46"/>
        <v>-3.452200443402097E-3</v>
      </c>
      <c r="G99" s="1"/>
      <c r="H99" s="1">
        <f>SUM(OSRRefH22_10x_0)</f>
        <v>-35</v>
      </c>
      <c r="I99" s="1"/>
      <c r="J99" s="5">
        <f t="shared" si="47"/>
        <v>-7.3285844106352416E-5</v>
      </c>
      <c r="K99" s="1"/>
      <c r="L99" s="1">
        <f t="shared" si="48"/>
        <v>-2145.9800000000014</v>
      </c>
      <c r="M99" s="1"/>
      <c r="N99" s="5">
        <f t="shared" si="49"/>
        <v>61.313714285714326</v>
      </c>
      <c r="O99" s="14"/>
      <c r="P99" s="1">
        <f>SUM(OSRRefP22_10x_0)</f>
        <v>-32045.08</v>
      </c>
      <c r="Q99" s="1"/>
      <c r="R99" s="5">
        <f t="shared" si="50"/>
        <v>-6.9245034734460881E-3</v>
      </c>
      <c r="S99" s="1"/>
      <c r="T99" s="1">
        <f>SUM(OSRRefT22_10x_0)</f>
        <v>8690</v>
      </c>
      <c r="U99" s="1"/>
      <c r="V99" s="5">
        <f t="shared" si="51"/>
        <v>1.4150296667727259E-3</v>
      </c>
      <c r="W99" s="1"/>
      <c r="X99" s="1">
        <f t="shared" si="52"/>
        <v>-40735.08</v>
      </c>
      <c r="Y99" s="1"/>
      <c r="Z99" s="5">
        <f t="shared" si="53"/>
        <v>-4.6875811277330266</v>
      </c>
    </row>
    <row r="100" spans="1:26" s="24" customFormat="1" hidden="1" outlineLevel="2" x14ac:dyDescent="0.3">
      <c r="A100" s="29"/>
      <c r="B100" s="11" t="str">
        <f>CONCATENATE("          ", "6305", " - ", "FREIGHT OUT")</f>
        <v xml:space="preserve">          6305 - FREIGHT OUT</v>
      </c>
      <c r="C100" s="11"/>
      <c r="D100" s="6">
        <v>12270.64</v>
      </c>
      <c r="E100" s="2"/>
      <c r="F100" s="7">
        <f t="shared" si="46"/>
        <v>1.9422786476183861E-2</v>
      </c>
      <c r="G100" s="2"/>
      <c r="H100" s="6">
        <v>9565</v>
      </c>
      <c r="I100" s="2"/>
      <c r="J100" s="7">
        <f t="shared" si="47"/>
        <v>2.0027974253636026E-2</v>
      </c>
      <c r="K100" s="2"/>
      <c r="L100" s="6">
        <f t="shared" si="48"/>
        <v>2705.6399999999994</v>
      </c>
      <c r="M100" s="2"/>
      <c r="N100" s="7">
        <f t="shared" si="49"/>
        <v>0.28286879247255614</v>
      </c>
      <c r="O100" s="11"/>
      <c r="P100" s="6">
        <v>78221.39</v>
      </c>
      <c r="Q100" s="2"/>
      <c r="R100" s="7">
        <f t="shared" si="50"/>
        <v>1.6902572462068471E-2</v>
      </c>
      <c r="S100" s="2"/>
      <c r="T100" s="6">
        <v>99590</v>
      </c>
      <c r="U100" s="2"/>
      <c r="V100" s="7">
        <f t="shared" si="51"/>
        <v>1.6216663350275693E-2</v>
      </c>
      <c r="W100" s="2"/>
      <c r="X100" s="6">
        <f t="shared" si="52"/>
        <v>-21368.61</v>
      </c>
      <c r="Y100" s="2"/>
      <c r="Z100" s="7">
        <f t="shared" si="53"/>
        <v>-0.21456581986143189</v>
      </c>
    </row>
    <row r="101" spans="1:26" s="24" customFormat="1" hidden="1" outlineLevel="2" x14ac:dyDescent="0.3">
      <c r="A101" s="29"/>
      <c r="B101" s="11" t="str">
        <f>CONCATENATE("          ", "6307", " - ", "POSTAGE")</f>
        <v xml:space="preserve">          6307 - POSTAGE</v>
      </c>
      <c r="C101" s="11"/>
      <c r="D101" s="6">
        <v>-14451.62</v>
      </c>
      <c r="E101" s="2"/>
      <c r="F101" s="7">
        <f t="shared" si="46"/>
        <v>-2.2874986919585959E-2</v>
      </c>
      <c r="G101" s="2"/>
      <c r="H101" s="6">
        <v>-9600</v>
      </c>
      <c r="I101" s="2"/>
      <c r="J101" s="7">
        <f t="shared" si="47"/>
        <v>-2.0101260097742376E-2</v>
      </c>
      <c r="K101" s="2"/>
      <c r="L101" s="6">
        <f t="shared" si="48"/>
        <v>-4851.6200000000008</v>
      </c>
      <c r="M101" s="2"/>
      <c r="N101" s="7">
        <f t="shared" si="49"/>
        <v>0.50537708333333342</v>
      </c>
      <c r="O101" s="11"/>
      <c r="P101" s="6">
        <v>-110266.47</v>
      </c>
      <c r="Q101" s="2"/>
      <c r="R101" s="7">
        <f t="shared" si="50"/>
        <v>-2.3827075935514558E-2</v>
      </c>
      <c r="S101" s="2"/>
      <c r="T101" s="6">
        <v>-90900</v>
      </c>
      <c r="U101" s="2"/>
      <c r="V101" s="7">
        <f t="shared" si="51"/>
        <v>-1.4801633683502969E-2</v>
      </c>
      <c r="W101" s="2"/>
      <c r="X101" s="6">
        <f t="shared" si="52"/>
        <v>-19366.47</v>
      </c>
      <c r="Y101" s="2"/>
      <c r="Z101" s="7">
        <f t="shared" si="53"/>
        <v>0.21305247524752477</v>
      </c>
    </row>
    <row r="102" spans="1:26" s="28" customFormat="1" outlineLevel="1" collapsed="1" x14ac:dyDescent="0.3">
      <c r="A102" s="27"/>
      <c r="B102" s="14" t="str">
        <f>CONCATENATE("     ","General                                           ")</f>
        <v xml:space="preserve">     General                                           </v>
      </c>
      <c r="C102" s="14"/>
      <c r="D102" s="1">
        <f>SUM(OSRRefD22_11x_0)</f>
        <v>1002</v>
      </c>
      <c r="E102" s="1"/>
      <c r="F102" s="5">
        <f t="shared" ref="F102:F104" si="54">IF(D$12=0,0,D102/D$12)</f>
        <v>1.5860323543952256E-3</v>
      </c>
      <c r="G102" s="1"/>
      <c r="H102" s="1">
        <f>SUM(OSRRefH22_11x_0)</f>
        <v>2105</v>
      </c>
      <c r="I102" s="1"/>
      <c r="J102" s="5">
        <f t="shared" ref="J102:J104" si="55">IF(H$12=0,0,H102/H$12)</f>
        <v>4.4076200526820524E-3</v>
      </c>
      <c r="K102" s="1"/>
      <c r="L102" s="1">
        <f t="shared" ref="L102:L104" si="56">+D102-H102</f>
        <v>-1103</v>
      </c>
      <c r="M102" s="1"/>
      <c r="N102" s="5">
        <f t="shared" ref="N102:N104" si="57">IF(H102=0,0,L102/H102)</f>
        <v>-0.52399049881235149</v>
      </c>
      <c r="O102" s="14"/>
      <c r="P102" s="1">
        <f>SUM(OSRRefP22_11x_0)</f>
        <v>4331.1899999999996</v>
      </c>
      <c r="Q102" s="1"/>
      <c r="R102" s="5">
        <f t="shared" ref="R102:R104" si="58">IF(P$12=0,0,P102/P$12)</f>
        <v>9.359109167196637E-4</v>
      </c>
      <c r="S102" s="1"/>
      <c r="T102" s="1">
        <f>SUM(OSRRefT22_11x_0)</f>
        <v>4005</v>
      </c>
      <c r="U102" s="1"/>
      <c r="V102" s="5">
        <f t="shared" ref="V102:V104" si="59">IF(T$12=0,0,T102/T$12)</f>
        <v>6.5215118704542788E-4</v>
      </c>
      <c r="W102" s="1"/>
      <c r="X102" s="1">
        <f t="shared" ref="X102:X104" si="60">+P102-T102</f>
        <v>326.1899999999996</v>
      </c>
      <c r="Y102" s="1"/>
      <c r="Z102" s="5">
        <f t="shared" ref="Z102:Z104" si="61">IF(T102=0,0,X102/T102)</f>
        <v>8.1445692883895027E-2</v>
      </c>
    </row>
    <row r="103" spans="1:26" s="24" customFormat="1" hidden="1" outlineLevel="2" x14ac:dyDescent="0.3">
      <c r="A103" s="29"/>
      <c r="B103" s="11" t="str">
        <f>CONCATENATE("          ", "6276", " - ", "PROPERTY TAX")</f>
        <v xml:space="preserve">          6276 - PROPERTY TAX</v>
      </c>
      <c r="C103" s="11"/>
      <c r="D103" s="6"/>
      <c r="E103" s="2"/>
      <c r="F103" s="7">
        <f t="shared" si="54"/>
        <v>0</v>
      </c>
      <c r="G103" s="2"/>
      <c r="H103" s="6">
        <v>1125</v>
      </c>
      <c r="I103" s="2"/>
      <c r="J103" s="7">
        <f t="shared" si="55"/>
        <v>2.3556164177041847E-3</v>
      </c>
      <c r="K103" s="2"/>
      <c r="L103" s="6">
        <f t="shared" si="56"/>
        <v>-1125</v>
      </c>
      <c r="M103" s="2"/>
      <c r="N103" s="7">
        <f t="shared" si="57"/>
        <v>-1</v>
      </c>
      <c r="O103" s="11"/>
      <c r="P103" s="6"/>
      <c r="Q103" s="2"/>
      <c r="R103" s="7">
        <f t="shared" si="58"/>
        <v>0</v>
      </c>
      <c r="S103" s="2"/>
      <c r="T103" s="6">
        <v>1250</v>
      </c>
      <c r="U103" s="2"/>
      <c r="V103" s="7">
        <f t="shared" si="59"/>
        <v>2.0354281742990881E-4</v>
      </c>
      <c r="W103" s="2"/>
      <c r="X103" s="6">
        <f t="shared" si="60"/>
        <v>-1250</v>
      </c>
      <c r="Y103" s="2"/>
      <c r="Z103" s="7">
        <f t="shared" si="61"/>
        <v>-1</v>
      </c>
    </row>
    <row r="104" spans="1:26" s="24" customFormat="1" hidden="1" outlineLevel="2" x14ac:dyDescent="0.3">
      <c r="A104" s="29"/>
      <c r="B104" s="11" t="str">
        <f>CONCATENATE("          ", "6279", " - ", "GENERAL EXPENSE")</f>
        <v xml:space="preserve">          6279 - GENERAL EXPENSE</v>
      </c>
      <c r="C104" s="11"/>
      <c r="D104" s="6">
        <v>1002</v>
      </c>
      <c r="E104" s="2"/>
      <c r="F104" s="7">
        <f t="shared" si="54"/>
        <v>1.5860323543952256E-3</v>
      </c>
      <c r="G104" s="2"/>
      <c r="H104" s="6">
        <v>980</v>
      </c>
      <c r="I104" s="2"/>
      <c r="J104" s="7">
        <f t="shared" si="55"/>
        <v>2.0520036349778678E-3</v>
      </c>
      <c r="K104" s="2"/>
      <c r="L104" s="6">
        <f t="shared" si="56"/>
        <v>22</v>
      </c>
      <c r="M104" s="2"/>
      <c r="N104" s="7">
        <f t="shared" si="57"/>
        <v>2.2448979591836733E-2</v>
      </c>
      <c r="O104" s="11"/>
      <c r="P104" s="6">
        <v>4331.1899999999996</v>
      </c>
      <c r="Q104" s="2"/>
      <c r="R104" s="7">
        <f t="shared" si="58"/>
        <v>9.359109167196637E-4</v>
      </c>
      <c r="S104" s="2"/>
      <c r="T104" s="6">
        <v>2755</v>
      </c>
      <c r="U104" s="2"/>
      <c r="V104" s="7">
        <f t="shared" si="59"/>
        <v>4.4860836961551899E-4</v>
      </c>
      <c r="W104" s="2"/>
      <c r="X104" s="6">
        <f t="shared" si="60"/>
        <v>1576.1899999999996</v>
      </c>
      <c r="Y104" s="2"/>
      <c r="Z104" s="7">
        <f t="shared" si="61"/>
        <v>0.57211978221415594</v>
      </c>
    </row>
    <row r="105" spans="1:26" s="28" customFormat="1" outlineLevel="1" collapsed="1" x14ac:dyDescent="0.3">
      <c r="A105" s="27"/>
      <c r="B105" s="14" t="str">
        <f>CONCATENATE("     ","Insurance                                         ")</f>
        <v xml:space="preserve">     Insurance                                         </v>
      </c>
      <c r="C105" s="14"/>
      <c r="D105" s="1">
        <f>SUM(OSRRefD22_12x_0)</f>
        <v>5494.57</v>
      </c>
      <c r="E105" s="1"/>
      <c r="F105" s="5">
        <f t="shared" ref="F105:F117" si="62">IF(D$12=0,0,D105/D$12)</f>
        <v>8.697171450588197E-3</v>
      </c>
      <c r="G105" s="1"/>
      <c r="H105" s="1">
        <f>SUM(OSRRefH22_12x_0)</f>
        <v>5375</v>
      </c>
      <c r="I105" s="1"/>
      <c r="J105" s="5">
        <f t="shared" ref="J105:J117" si="63">IF(H$12=0,0,H105/H$12)</f>
        <v>1.125461177347555E-2</v>
      </c>
      <c r="K105" s="1"/>
      <c r="L105" s="1">
        <f t="shared" ref="L105:L117" si="64">+D105-H105</f>
        <v>119.56999999999971</v>
      </c>
      <c r="M105" s="1"/>
      <c r="N105" s="5">
        <f t="shared" ref="N105:N117" si="65">IF(H105=0,0,L105/H105)</f>
        <v>2.2245581395348782E-2</v>
      </c>
      <c r="O105" s="14"/>
      <c r="P105" s="1">
        <f>SUM(OSRRefP22_12x_0)</f>
        <v>32967.42</v>
      </c>
      <c r="Q105" s="1"/>
      <c r="R105" s="5">
        <f t="shared" ref="R105:R117" si="66">IF(P$12=0,0,P105/P$12)</f>
        <v>7.1238085316234507E-3</v>
      </c>
      <c r="S105" s="1"/>
      <c r="T105" s="1">
        <f>SUM(OSRRefT22_12x_0)</f>
        <v>32250</v>
      </c>
      <c r="U105" s="1"/>
      <c r="V105" s="5">
        <f t="shared" ref="V105:V117" si="67">IF(T$12=0,0,T105/T$12)</f>
        <v>5.251404689691647E-3</v>
      </c>
      <c r="W105" s="1"/>
      <c r="X105" s="1">
        <f t="shared" ref="X105:X117" si="68">+P105-T105</f>
        <v>717.41999999999825</v>
      </c>
      <c r="Y105" s="1"/>
      <c r="Z105" s="5">
        <f t="shared" ref="Z105:Z117" si="69">IF(T105=0,0,X105/T105)</f>
        <v>2.2245581395348782E-2</v>
      </c>
    </row>
    <row r="106" spans="1:26" s="24" customFormat="1" hidden="1" outlineLevel="2" x14ac:dyDescent="0.3">
      <c r="A106" s="29"/>
      <c r="B106" s="11" t="str">
        <f>CONCATENATE("          ", "6314", " - ", "LIABILITY INSURANCE")</f>
        <v xml:space="preserve">          6314 - LIABILITY INSURANCE</v>
      </c>
      <c r="C106" s="11"/>
      <c r="D106" s="6">
        <v>5494.57</v>
      </c>
      <c r="E106" s="2"/>
      <c r="F106" s="7">
        <f t="shared" si="62"/>
        <v>8.697171450588197E-3</v>
      </c>
      <c r="G106" s="2"/>
      <c r="H106" s="6">
        <v>5375</v>
      </c>
      <c r="I106" s="2"/>
      <c r="J106" s="7">
        <f t="shared" si="63"/>
        <v>1.125461177347555E-2</v>
      </c>
      <c r="K106" s="2"/>
      <c r="L106" s="6">
        <f t="shared" si="64"/>
        <v>119.56999999999971</v>
      </c>
      <c r="M106" s="2"/>
      <c r="N106" s="7">
        <f t="shared" si="65"/>
        <v>2.2245581395348782E-2</v>
      </c>
      <c r="O106" s="11"/>
      <c r="P106" s="6">
        <v>32967.42</v>
      </c>
      <c r="Q106" s="2"/>
      <c r="R106" s="7">
        <f t="shared" si="66"/>
        <v>7.1238085316234507E-3</v>
      </c>
      <c r="S106" s="2"/>
      <c r="T106" s="6">
        <v>32250</v>
      </c>
      <c r="U106" s="2"/>
      <c r="V106" s="7">
        <f t="shared" si="67"/>
        <v>5.251404689691647E-3</v>
      </c>
      <c r="W106" s="2"/>
      <c r="X106" s="6">
        <f t="shared" si="68"/>
        <v>717.41999999999825</v>
      </c>
      <c r="Y106" s="2"/>
      <c r="Z106" s="7">
        <f t="shared" si="69"/>
        <v>2.2245581395348782E-2</v>
      </c>
    </row>
    <row r="107" spans="1:26" s="28" customFormat="1" outlineLevel="1" collapsed="1" x14ac:dyDescent="0.3">
      <c r="A107" s="27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SUM(OSRRefD22_13x_0)</f>
        <v>9440</v>
      </c>
      <c r="E107" s="1"/>
      <c r="F107" s="5">
        <f t="shared" si="62"/>
        <v>1.4942260903683563E-2</v>
      </c>
      <c r="G107" s="1"/>
      <c r="H107" s="1">
        <f>SUM(OSRRefH22_13x_0)</f>
        <v>9440</v>
      </c>
      <c r="I107" s="1"/>
      <c r="J107" s="5">
        <f t="shared" si="63"/>
        <v>1.9766239096113337E-2</v>
      </c>
      <c r="K107" s="1"/>
      <c r="L107" s="1">
        <f t="shared" si="64"/>
        <v>0</v>
      </c>
      <c r="M107" s="1"/>
      <c r="N107" s="5">
        <f t="shared" si="65"/>
        <v>0</v>
      </c>
      <c r="O107" s="14"/>
      <c r="P107" s="1">
        <f>SUM(OSRRefP22_13x_0)</f>
        <v>40240</v>
      </c>
      <c r="Q107" s="1"/>
      <c r="R107" s="5">
        <f t="shared" si="66"/>
        <v>8.6953135948317373E-3</v>
      </c>
      <c r="S107" s="1"/>
      <c r="T107" s="1">
        <f>SUM(OSRRefT22_13x_0)</f>
        <v>40950</v>
      </c>
      <c r="U107" s="1"/>
      <c r="V107" s="5">
        <f t="shared" si="67"/>
        <v>6.6680626990038129E-3</v>
      </c>
      <c r="W107" s="1"/>
      <c r="X107" s="1">
        <f t="shared" si="68"/>
        <v>-710</v>
      </c>
      <c r="Y107" s="1"/>
      <c r="Z107" s="5">
        <f t="shared" si="69"/>
        <v>-1.7338217338217339E-2</v>
      </c>
    </row>
    <row r="108" spans="1:26" s="24" customFormat="1" hidden="1" outlineLevel="2" x14ac:dyDescent="0.3">
      <c r="A108" s="29"/>
      <c r="B108" s="11" t="str">
        <f>CONCATENATE("          ", "6408", " - ", "INVENTORY ADJUSTMENT")</f>
        <v xml:space="preserve">          6408 - INVENTORY ADJUSTMENT</v>
      </c>
      <c r="C108" s="11"/>
      <c r="D108" s="6">
        <v>9440</v>
      </c>
      <c r="E108" s="2"/>
      <c r="F108" s="7">
        <f t="shared" si="62"/>
        <v>1.4942260903683563E-2</v>
      </c>
      <c r="G108" s="2"/>
      <c r="H108" s="6">
        <v>9440</v>
      </c>
      <c r="I108" s="2"/>
      <c r="J108" s="7">
        <f t="shared" si="63"/>
        <v>1.9766239096113337E-2</v>
      </c>
      <c r="K108" s="2"/>
      <c r="L108" s="6">
        <f t="shared" si="64"/>
        <v>0</v>
      </c>
      <c r="M108" s="2"/>
      <c r="N108" s="7">
        <f t="shared" si="65"/>
        <v>0</v>
      </c>
      <c r="O108" s="11"/>
      <c r="P108" s="6">
        <v>40240</v>
      </c>
      <c r="Q108" s="2"/>
      <c r="R108" s="7">
        <f t="shared" si="66"/>
        <v>8.6953135948317373E-3</v>
      </c>
      <c r="S108" s="2"/>
      <c r="T108" s="6">
        <v>40950</v>
      </c>
      <c r="U108" s="2"/>
      <c r="V108" s="7">
        <f t="shared" si="67"/>
        <v>6.6680626990038129E-3</v>
      </c>
      <c r="W108" s="2"/>
      <c r="X108" s="6">
        <f t="shared" si="68"/>
        <v>-710</v>
      </c>
      <c r="Y108" s="2"/>
      <c r="Z108" s="7">
        <f t="shared" si="69"/>
        <v>-1.7338217338217339E-2</v>
      </c>
    </row>
    <row r="109" spans="1:26" s="28" customFormat="1" outlineLevel="1" collapsed="1" x14ac:dyDescent="0.3">
      <c r="A109" s="27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SUM(OSRRefD22_14x_0)</f>
        <v>0</v>
      </c>
      <c r="E109" s="1"/>
      <c r="F109" s="5">
        <f t="shared" si="62"/>
        <v>0</v>
      </c>
      <c r="G109" s="1"/>
      <c r="H109" s="1">
        <f>SUM(OSRRefH22_14x_0)</f>
        <v>0</v>
      </c>
      <c r="I109" s="1"/>
      <c r="J109" s="5">
        <f t="shared" si="63"/>
        <v>0</v>
      </c>
      <c r="K109" s="1"/>
      <c r="L109" s="1">
        <f t="shared" si="64"/>
        <v>0</v>
      </c>
      <c r="M109" s="1"/>
      <c r="N109" s="5">
        <f t="shared" si="65"/>
        <v>0</v>
      </c>
      <c r="O109" s="14"/>
      <c r="P109" s="1">
        <f>SUM(OSRRefP22_14x_0)</f>
        <v>8186.53</v>
      </c>
      <c r="Q109" s="1"/>
      <c r="R109" s="5">
        <f t="shared" si="66"/>
        <v>1.7689971571445788E-3</v>
      </c>
      <c r="S109" s="1"/>
      <c r="T109" s="1">
        <f>SUM(OSRRefT22_14x_0)</f>
        <v>1250</v>
      </c>
      <c r="U109" s="1"/>
      <c r="V109" s="5">
        <f t="shared" si="67"/>
        <v>2.0354281742990881E-4</v>
      </c>
      <c r="W109" s="1"/>
      <c r="X109" s="1">
        <f t="shared" si="68"/>
        <v>6936.53</v>
      </c>
      <c r="Y109" s="1"/>
      <c r="Z109" s="5">
        <f t="shared" si="69"/>
        <v>5.5492239999999997</v>
      </c>
    </row>
    <row r="110" spans="1:26" s="24" customFormat="1" hidden="1" outlineLevel="2" x14ac:dyDescent="0.3">
      <c r="A110" s="29"/>
      <c r="B110" s="11" t="str">
        <f>CONCATENATE("          ", "6336", " - ", "PROFESSIONAL SERVICES")</f>
        <v xml:space="preserve">          6336 - PROFESSIONAL SERVICES</v>
      </c>
      <c r="C110" s="11"/>
      <c r="D110" s="6"/>
      <c r="E110" s="2"/>
      <c r="F110" s="7">
        <f t="shared" si="62"/>
        <v>0</v>
      </c>
      <c r="G110" s="2"/>
      <c r="H110" s="6">
        <v>0</v>
      </c>
      <c r="I110" s="2"/>
      <c r="J110" s="7">
        <f t="shared" si="63"/>
        <v>0</v>
      </c>
      <c r="K110" s="2"/>
      <c r="L110" s="6">
        <f t="shared" si="64"/>
        <v>0</v>
      </c>
      <c r="M110" s="2"/>
      <c r="N110" s="7">
        <f t="shared" si="65"/>
        <v>0</v>
      </c>
      <c r="O110" s="11"/>
      <c r="P110" s="6">
        <v>8186.53</v>
      </c>
      <c r="Q110" s="2"/>
      <c r="R110" s="7">
        <f t="shared" si="66"/>
        <v>1.7689971571445788E-3</v>
      </c>
      <c r="S110" s="2"/>
      <c r="T110" s="6">
        <v>1250</v>
      </c>
      <c r="U110" s="2"/>
      <c r="V110" s="7">
        <f t="shared" si="67"/>
        <v>2.0354281742990881E-4</v>
      </c>
      <c r="W110" s="2"/>
      <c r="X110" s="6">
        <f t="shared" si="68"/>
        <v>6936.53</v>
      </c>
      <c r="Y110" s="2"/>
      <c r="Z110" s="7">
        <f t="shared" si="69"/>
        <v>5.5492239999999997</v>
      </c>
    </row>
    <row r="111" spans="1:26" s="28" customFormat="1" outlineLevel="1" collapsed="1" x14ac:dyDescent="0.3">
      <c r="A111" s="27"/>
      <c r="B111" s="14" t="str">
        <f>CONCATENATE("     ","Rent                                              ")</f>
        <v xml:space="preserve">     Rent                                              </v>
      </c>
      <c r="C111" s="14"/>
      <c r="D111" s="1">
        <f>SUM(OSRRefD22_15x_0)</f>
        <v>6100</v>
      </c>
      <c r="E111" s="1"/>
      <c r="F111" s="5">
        <f t="shared" si="62"/>
        <v>9.6554863890328108E-3</v>
      </c>
      <c r="G111" s="1"/>
      <c r="H111" s="1">
        <f>SUM(OSRRefH22_15x_0)</f>
        <v>6100</v>
      </c>
      <c r="I111" s="1"/>
      <c r="J111" s="5">
        <f t="shared" si="63"/>
        <v>1.2772675687107136E-2</v>
      </c>
      <c r="K111" s="1"/>
      <c r="L111" s="1">
        <f t="shared" si="64"/>
        <v>0</v>
      </c>
      <c r="M111" s="1"/>
      <c r="N111" s="5">
        <f t="shared" si="65"/>
        <v>0</v>
      </c>
      <c r="O111" s="14"/>
      <c r="P111" s="1">
        <f>SUM(OSRRefP22_15x_0)</f>
        <v>36600</v>
      </c>
      <c r="Q111" s="1"/>
      <c r="R111" s="5">
        <f t="shared" si="66"/>
        <v>7.9087593829731996E-3</v>
      </c>
      <c r="S111" s="1"/>
      <c r="T111" s="1">
        <f>SUM(OSRRefT22_15x_0)</f>
        <v>36600</v>
      </c>
      <c r="U111" s="1"/>
      <c r="V111" s="5">
        <f t="shared" si="67"/>
        <v>5.9597336943477295E-3</v>
      </c>
      <c r="W111" s="1"/>
      <c r="X111" s="1">
        <f t="shared" si="68"/>
        <v>0</v>
      </c>
      <c r="Y111" s="1"/>
      <c r="Z111" s="5">
        <f t="shared" si="69"/>
        <v>0</v>
      </c>
    </row>
    <row r="112" spans="1:26" s="24" customFormat="1" hidden="1" outlineLevel="2" x14ac:dyDescent="0.3">
      <c r="A112" s="29"/>
      <c r="B112" s="11" t="str">
        <f>CONCATENATE("          ", "6273", " - ", "RENT")</f>
        <v xml:space="preserve">          6273 - RENT</v>
      </c>
      <c r="C112" s="11"/>
      <c r="D112" s="6">
        <v>6100</v>
      </c>
      <c r="E112" s="2"/>
      <c r="F112" s="7">
        <f t="shared" si="62"/>
        <v>9.6554863890328108E-3</v>
      </c>
      <c r="G112" s="2"/>
      <c r="H112" s="6">
        <v>6100</v>
      </c>
      <c r="I112" s="2"/>
      <c r="J112" s="7">
        <f t="shared" si="63"/>
        <v>1.2772675687107136E-2</v>
      </c>
      <c r="K112" s="2"/>
      <c r="L112" s="6">
        <f t="shared" si="64"/>
        <v>0</v>
      </c>
      <c r="M112" s="2"/>
      <c r="N112" s="7">
        <f t="shared" si="65"/>
        <v>0</v>
      </c>
      <c r="O112" s="11"/>
      <c r="P112" s="6">
        <v>36600</v>
      </c>
      <c r="Q112" s="2"/>
      <c r="R112" s="7">
        <f t="shared" si="66"/>
        <v>7.9087593829731996E-3</v>
      </c>
      <c r="S112" s="2"/>
      <c r="T112" s="6">
        <v>36600</v>
      </c>
      <c r="U112" s="2"/>
      <c r="V112" s="7">
        <f t="shared" si="67"/>
        <v>5.9597336943477295E-3</v>
      </c>
      <c r="W112" s="2"/>
      <c r="X112" s="6">
        <f t="shared" si="68"/>
        <v>0</v>
      </c>
      <c r="Y112" s="2"/>
      <c r="Z112" s="7">
        <f t="shared" si="69"/>
        <v>0</v>
      </c>
    </row>
    <row r="113" spans="1:26" s="28" customFormat="1" outlineLevel="1" collapsed="1" x14ac:dyDescent="0.3">
      <c r="A113" s="27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SUM(OSRRefD22_16x_0)</f>
        <v>7012.15</v>
      </c>
      <c r="E113" s="1"/>
      <c r="F113" s="5">
        <f t="shared" si="62"/>
        <v>1.1099298177517446E-2</v>
      </c>
      <c r="G113" s="1"/>
      <c r="H113" s="1">
        <f>SUM(OSRRefH22_16x_0)</f>
        <v>5645</v>
      </c>
      <c r="I113" s="1"/>
      <c r="J113" s="5">
        <f t="shared" si="63"/>
        <v>1.1819959713724555E-2</v>
      </c>
      <c r="K113" s="1"/>
      <c r="L113" s="1">
        <f t="shared" si="64"/>
        <v>1367.1499999999996</v>
      </c>
      <c r="M113" s="1"/>
      <c r="N113" s="5">
        <f t="shared" si="65"/>
        <v>0.24218777679362261</v>
      </c>
      <c r="O113" s="14"/>
      <c r="P113" s="1">
        <f>SUM(OSRRefP22_16x_0)</f>
        <v>97807.62</v>
      </c>
      <c r="Q113" s="1"/>
      <c r="R113" s="5">
        <f t="shared" si="66"/>
        <v>2.1134888863422872E-2</v>
      </c>
      <c r="S113" s="1"/>
      <c r="T113" s="1">
        <f>SUM(OSRRefT22_16x_0)</f>
        <v>94590</v>
      </c>
      <c r="U113" s="1"/>
      <c r="V113" s="5">
        <f t="shared" si="67"/>
        <v>1.5402492080556059E-2</v>
      </c>
      <c r="W113" s="1"/>
      <c r="X113" s="1">
        <f t="shared" si="68"/>
        <v>3217.6199999999953</v>
      </c>
      <c r="Y113" s="1"/>
      <c r="Z113" s="5">
        <f t="shared" si="69"/>
        <v>3.4016492229622532E-2</v>
      </c>
    </row>
    <row r="114" spans="1:26" s="24" customFormat="1" hidden="1" outlineLevel="2" x14ac:dyDescent="0.3">
      <c r="A114" s="29"/>
      <c r="B114" s="11" t="str">
        <f>CONCATENATE("          ", "6371", " - ", "COMPUTER SOFTWARE MAINTENANCE")</f>
        <v xml:space="preserve">          6371 - COMPUTER SOFTWARE MAINTENANCE</v>
      </c>
      <c r="C114" s="11"/>
      <c r="D114" s="6"/>
      <c r="E114" s="2"/>
      <c r="F114" s="7">
        <f t="shared" si="62"/>
        <v>0</v>
      </c>
      <c r="G114" s="2"/>
      <c r="H114" s="6">
        <v>1000</v>
      </c>
      <c r="I114" s="2"/>
      <c r="J114" s="7">
        <f t="shared" si="63"/>
        <v>2.0938812601814976E-3</v>
      </c>
      <c r="K114" s="2"/>
      <c r="L114" s="6">
        <f t="shared" si="64"/>
        <v>-1000</v>
      </c>
      <c r="M114" s="2"/>
      <c r="N114" s="7">
        <f t="shared" si="65"/>
        <v>-1</v>
      </c>
      <c r="O114" s="11"/>
      <c r="P114" s="6">
        <v>62511</v>
      </c>
      <c r="Q114" s="2"/>
      <c r="R114" s="7">
        <f t="shared" si="66"/>
        <v>1.3507772070738734E-2</v>
      </c>
      <c r="S114" s="2"/>
      <c r="T114" s="6">
        <v>45100</v>
      </c>
      <c r="U114" s="2"/>
      <c r="V114" s="7">
        <f t="shared" si="67"/>
        <v>7.3438248528711102E-3</v>
      </c>
      <c r="W114" s="2"/>
      <c r="X114" s="6">
        <f t="shared" si="68"/>
        <v>17411</v>
      </c>
      <c r="Y114" s="2"/>
      <c r="Z114" s="7">
        <f t="shared" si="69"/>
        <v>0.38605321507760532</v>
      </c>
    </row>
    <row r="115" spans="1:26" s="24" customFormat="1" hidden="1" outlineLevel="2" x14ac:dyDescent="0.3">
      <c r="A115" s="29"/>
      <c r="B115" s="11" t="str">
        <f>CONCATENATE("          ", "6372", " - ", "COMPUTER HARDWARE MAINTENANCE")</f>
        <v xml:space="preserve">          6372 - COMPUTER HARDWARE MAINTENANCE</v>
      </c>
      <c r="C115" s="11"/>
      <c r="D115" s="6"/>
      <c r="E115" s="2"/>
      <c r="F115" s="7">
        <f t="shared" si="62"/>
        <v>0</v>
      </c>
      <c r="G115" s="2"/>
      <c r="H115" s="6">
        <v>3750</v>
      </c>
      <c r="I115" s="2"/>
      <c r="J115" s="7">
        <f t="shared" si="63"/>
        <v>7.852054725680617E-3</v>
      </c>
      <c r="K115" s="2"/>
      <c r="L115" s="6">
        <f t="shared" si="64"/>
        <v>-3750</v>
      </c>
      <c r="M115" s="2"/>
      <c r="N115" s="7">
        <f t="shared" si="65"/>
        <v>-1</v>
      </c>
      <c r="O115" s="11"/>
      <c r="P115" s="6"/>
      <c r="Q115" s="2"/>
      <c r="R115" s="7">
        <f t="shared" si="66"/>
        <v>0</v>
      </c>
      <c r="S115" s="2"/>
      <c r="T115" s="6">
        <v>19120</v>
      </c>
      <c r="U115" s="2"/>
      <c r="V115" s="7">
        <f t="shared" si="67"/>
        <v>3.113390935407885E-3</v>
      </c>
      <c r="W115" s="2"/>
      <c r="X115" s="6">
        <f t="shared" si="68"/>
        <v>-19120</v>
      </c>
      <c r="Y115" s="2"/>
      <c r="Z115" s="7">
        <f t="shared" si="69"/>
        <v>-1</v>
      </c>
    </row>
    <row r="116" spans="1:26" s="24" customFormat="1" hidden="1" outlineLevel="2" x14ac:dyDescent="0.3">
      <c r="A116" s="29"/>
      <c r="B116" s="11" t="str">
        <f>CONCATENATE("          ", "6373", " - ", "MAINTENANCE CONTRACTS")</f>
        <v xml:space="preserve">          6373 - MAINTENANCE CONTRACTS</v>
      </c>
      <c r="C116" s="11"/>
      <c r="D116" s="6">
        <v>2237.17</v>
      </c>
      <c r="E116" s="2"/>
      <c r="F116" s="7">
        <f t="shared" si="62"/>
        <v>3.5411417188446776E-3</v>
      </c>
      <c r="G116" s="2"/>
      <c r="H116" s="6">
        <v>855</v>
      </c>
      <c r="I116" s="2"/>
      <c r="J116" s="7">
        <f t="shared" si="63"/>
        <v>1.7902684774551805E-3</v>
      </c>
      <c r="K116" s="2"/>
      <c r="L116" s="6">
        <f t="shared" si="64"/>
        <v>1382.17</v>
      </c>
      <c r="M116" s="2"/>
      <c r="N116" s="7">
        <f t="shared" si="65"/>
        <v>1.6165730994152048</v>
      </c>
      <c r="O116" s="11"/>
      <c r="P116" s="6">
        <v>14483.17</v>
      </c>
      <c r="Q116" s="2"/>
      <c r="R116" s="7">
        <f t="shared" si="66"/>
        <v>3.1296149353195616E-3</v>
      </c>
      <c r="S116" s="2"/>
      <c r="T116" s="6">
        <v>30130</v>
      </c>
      <c r="U116" s="2"/>
      <c r="V116" s="7">
        <f t="shared" si="67"/>
        <v>4.906196071330522E-3</v>
      </c>
      <c r="W116" s="2"/>
      <c r="X116" s="6">
        <f t="shared" si="68"/>
        <v>-15646.83</v>
      </c>
      <c r="Y116" s="2"/>
      <c r="Z116" s="7">
        <f t="shared" si="69"/>
        <v>-0.51931065383338859</v>
      </c>
    </row>
    <row r="117" spans="1:26" s="24" customFormat="1" hidden="1" outlineLevel="2" x14ac:dyDescent="0.3">
      <c r="A117" s="29"/>
      <c r="B117" s="11" t="str">
        <f>CONCATENATE("          ", "6375", " - ", "OUTSIDE REPAIRS &amp; MAINTENANCE")</f>
        <v xml:space="preserve">          6375 - OUTSIDE REPAIRS &amp; MAINTENANCE</v>
      </c>
      <c r="C117" s="11"/>
      <c r="D117" s="6">
        <v>4774.9799999999996</v>
      </c>
      <c r="E117" s="2"/>
      <c r="F117" s="7">
        <f t="shared" si="62"/>
        <v>7.5581564586727681E-3</v>
      </c>
      <c r="G117" s="2"/>
      <c r="H117" s="6">
        <v>40</v>
      </c>
      <c r="I117" s="2"/>
      <c r="J117" s="7">
        <f t="shared" si="63"/>
        <v>8.375525040725991E-5</v>
      </c>
      <c r="K117" s="2"/>
      <c r="L117" s="6">
        <f t="shared" si="64"/>
        <v>4734.9799999999996</v>
      </c>
      <c r="M117" s="2"/>
      <c r="N117" s="7">
        <f t="shared" si="65"/>
        <v>118.37449999999998</v>
      </c>
      <c r="O117" s="11"/>
      <c r="P117" s="6">
        <v>20813.45</v>
      </c>
      <c r="Q117" s="2"/>
      <c r="R117" s="7">
        <f t="shared" si="66"/>
        <v>4.4975018573645779E-3</v>
      </c>
      <c r="S117" s="2"/>
      <c r="T117" s="6">
        <v>240</v>
      </c>
      <c r="U117" s="2"/>
      <c r="V117" s="7">
        <f t="shared" si="67"/>
        <v>3.9080220946542493E-5</v>
      </c>
      <c r="W117" s="2"/>
      <c r="X117" s="6">
        <f t="shared" si="68"/>
        <v>20573.45</v>
      </c>
      <c r="Y117" s="2"/>
      <c r="Z117" s="7">
        <f t="shared" si="69"/>
        <v>85.72270833333333</v>
      </c>
    </row>
    <row r="118" spans="1:26" s="28" customFormat="1" outlineLevel="1" collapsed="1" x14ac:dyDescent="0.3">
      <c r="A118" s="27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SUM(OSRRefD22_17x_0)</f>
        <v>1121.23</v>
      </c>
      <c r="E118" s="1"/>
      <c r="F118" s="5">
        <f t="shared" ref="F118:F122" si="70">IF(D$12=0,0,D118/D$12)</f>
        <v>1.7747575416352881E-3</v>
      </c>
      <c r="G118" s="1"/>
      <c r="H118" s="1">
        <f>SUM(OSRRefH22_17x_0)</f>
        <v>4906</v>
      </c>
      <c r="I118" s="1"/>
      <c r="J118" s="5">
        <f t="shared" ref="J118:J122" si="71">IF(H$12=0,0,H118/H$12)</f>
        <v>1.0272581462450428E-2</v>
      </c>
      <c r="K118" s="1"/>
      <c r="L118" s="1">
        <f t="shared" ref="L118:L122" si="72">+D118-H118</f>
        <v>-3784.77</v>
      </c>
      <c r="M118" s="1"/>
      <c r="N118" s="5">
        <f t="shared" ref="N118:N122" si="73">IF(H118=0,0,L118/H118)</f>
        <v>-0.77145739910313904</v>
      </c>
      <c r="O118" s="14"/>
      <c r="P118" s="1">
        <f>SUM(OSRRefP22_17x_0)</f>
        <v>21746.93</v>
      </c>
      <c r="Q118" s="1"/>
      <c r="R118" s="5">
        <f t="shared" ref="R118:R122" si="74">IF(P$12=0,0,P118/P$12)</f>
        <v>4.6992141171683438E-3</v>
      </c>
      <c r="S118" s="1"/>
      <c r="T118" s="1">
        <f>SUM(OSRRefT22_17x_0)</f>
        <v>45092</v>
      </c>
      <c r="U118" s="1"/>
      <c r="V118" s="5">
        <f t="shared" ref="V118:V122" si="75">IF(T$12=0,0,T118/T$12)</f>
        <v>7.3425221788395584E-3</v>
      </c>
      <c r="W118" s="1"/>
      <c r="X118" s="1">
        <f t="shared" ref="X118:X122" si="76">+P118-T118</f>
        <v>-23345.07</v>
      </c>
      <c r="Y118" s="1"/>
      <c r="Z118" s="5">
        <f t="shared" ref="Z118:Z122" si="77">IF(T118=0,0,X118/T118)</f>
        <v>-0.5177208817528608</v>
      </c>
    </row>
    <row r="119" spans="1:26" s="24" customFormat="1" hidden="1" outlineLevel="2" x14ac:dyDescent="0.3">
      <c r="A119" s="29"/>
      <c r="B119" s="11" t="str">
        <f>CONCATENATE("          ", "6252", " - ", "ROYALTY DUE CSTV")</f>
        <v xml:space="preserve">          6252 - ROYALTY DUE CSTV</v>
      </c>
      <c r="C119" s="11"/>
      <c r="D119" s="6"/>
      <c r="E119" s="2"/>
      <c r="F119" s="7">
        <f t="shared" si="70"/>
        <v>0</v>
      </c>
      <c r="G119" s="2"/>
      <c r="H119" s="6">
        <v>1906</v>
      </c>
      <c r="I119" s="2"/>
      <c r="J119" s="7">
        <f t="shared" si="71"/>
        <v>3.9909376819059345E-3</v>
      </c>
      <c r="K119" s="2"/>
      <c r="L119" s="6">
        <f t="shared" si="72"/>
        <v>-1906</v>
      </c>
      <c r="M119" s="2"/>
      <c r="N119" s="7">
        <f t="shared" si="73"/>
        <v>-1</v>
      </c>
      <c r="O119" s="11"/>
      <c r="P119" s="6"/>
      <c r="Q119" s="2"/>
      <c r="R119" s="7">
        <f t="shared" si="74"/>
        <v>0</v>
      </c>
      <c r="S119" s="2"/>
      <c r="T119" s="6">
        <v>10230</v>
      </c>
      <c r="U119" s="2"/>
      <c r="V119" s="7">
        <f t="shared" si="75"/>
        <v>1.6657944178463738E-3</v>
      </c>
      <c r="W119" s="2"/>
      <c r="X119" s="6">
        <f t="shared" si="76"/>
        <v>-10230</v>
      </c>
      <c r="Y119" s="2"/>
      <c r="Z119" s="7">
        <f t="shared" si="77"/>
        <v>-1</v>
      </c>
    </row>
    <row r="120" spans="1:26" s="24" customFormat="1" hidden="1" outlineLevel="2" x14ac:dyDescent="0.3">
      <c r="A120" s="29"/>
      <c r="B120" s="11" t="str">
        <f>CONCATENATE("          ", "6253", " - ", "ROYALTY DUE ATHLETICS-LRG")</f>
        <v xml:space="preserve">          6253 - ROYALTY DUE ATHLETICS-LRG</v>
      </c>
      <c r="C120" s="11"/>
      <c r="D120" s="6"/>
      <c r="E120" s="2"/>
      <c r="F120" s="7">
        <f t="shared" si="70"/>
        <v>0</v>
      </c>
      <c r="G120" s="2"/>
      <c r="H120" s="6">
        <v>0</v>
      </c>
      <c r="I120" s="2"/>
      <c r="J120" s="7">
        <f t="shared" si="71"/>
        <v>0</v>
      </c>
      <c r="K120" s="2"/>
      <c r="L120" s="6">
        <f t="shared" si="72"/>
        <v>0</v>
      </c>
      <c r="M120" s="2"/>
      <c r="N120" s="7">
        <f t="shared" si="73"/>
        <v>0</v>
      </c>
      <c r="O120" s="11"/>
      <c r="P120" s="6">
        <v>23160.29</v>
      </c>
      <c r="Q120" s="2"/>
      <c r="R120" s="7">
        <f t="shared" si="74"/>
        <v>5.0046218811442729E-3</v>
      </c>
      <c r="S120" s="2"/>
      <c r="T120" s="6">
        <v>16162</v>
      </c>
      <c r="U120" s="2"/>
      <c r="V120" s="7">
        <f t="shared" si="75"/>
        <v>2.6317272122417489E-3</v>
      </c>
      <c r="W120" s="2"/>
      <c r="X120" s="6">
        <f t="shared" si="76"/>
        <v>6998.2900000000009</v>
      </c>
      <c r="Y120" s="2"/>
      <c r="Z120" s="7">
        <f t="shared" si="77"/>
        <v>0.43300890978839257</v>
      </c>
    </row>
    <row r="121" spans="1:26" s="24" customFormat="1" hidden="1" outlineLevel="2" x14ac:dyDescent="0.3">
      <c r="A121" s="29"/>
      <c r="B121" s="11" t="str">
        <f>CONCATENATE("          ", "6254", " - ", "ROYALTY &amp; COMMISSIONS")</f>
        <v xml:space="preserve">          6254 - ROYALTY &amp; COMMISSIONS</v>
      </c>
      <c r="C121" s="11"/>
      <c r="D121" s="6">
        <v>0</v>
      </c>
      <c r="E121" s="2"/>
      <c r="F121" s="7">
        <f t="shared" si="70"/>
        <v>0</v>
      </c>
      <c r="G121" s="2"/>
      <c r="H121" s="6">
        <v>0</v>
      </c>
      <c r="I121" s="2"/>
      <c r="J121" s="7">
        <f t="shared" si="71"/>
        <v>0</v>
      </c>
      <c r="K121" s="2"/>
      <c r="L121" s="6">
        <f t="shared" si="72"/>
        <v>0</v>
      </c>
      <c r="M121" s="2"/>
      <c r="N121" s="7">
        <f t="shared" si="73"/>
        <v>0</v>
      </c>
      <c r="O121" s="11"/>
      <c r="P121" s="6">
        <v>-7027.5</v>
      </c>
      <c r="Q121" s="2"/>
      <c r="R121" s="7">
        <f t="shared" si="74"/>
        <v>-1.5185466274274361E-3</v>
      </c>
      <c r="S121" s="2"/>
      <c r="T121" s="6">
        <v>0</v>
      </c>
      <c r="U121" s="2"/>
      <c r="V121" s="7">
        <f t="shared" si="75"/>
        <v>0</v>
      </c>
      <c r="W121" s="2"/>
      <c r="X121" s="6">
        <f t="shared" si="76"/>
        <v>-7027.5</v>
      </c>
      <c r="Y121" s="2"/>
      <c r="Z121" s="7">
        <f t="shared" si="77"/>
        <v>0</v>
      </c>
    </row>
    <row r="122" spans="1:26" s="24" customFormat="1" hidden="1" outlineLevel="2" x14ac:dyDescent="0.3">
      <c r="A122" s="29"/>
      <c r="B122" s="11" t="str">
        <f>CONCATENATE("          ", "6259", " - ", "ROYALTY &amp; COMMISSIONS")</f>
        <v xml:space="preserve">          6259 - ROYALTY &amp; COMMISSIONS</v>
      </c>
      <c r="C122" s="11"/>
      <c r="D122" s="6">
        <v>1121.23</v>
      </c>
      <c r="E122" s="2"/>
      <c r="F122" s="7">
        <f t="shared" si="70"/>
        <v>1.7747575416352881E-3</v>
      </c>
      <c r="G122" s="2"/>
      <c r="H122" s="6">
        <v>3000</v>
      </c>
      <c r="I122" s="2"/>
      <c r="J122" s="7">
        <f t="shared" si="71"/>
        <v>6.2816437805444927E-3</v>
      </c>
      <c r="K122" s="2"/>
      <c r="L122" s="6">
        <f t="shared" si="72"/>
        <v>-1878.77</v>
      </c>
      <c r="M122" s="2"/>
      <c r="N122" s="7">
        <f t="shared" si="73"/>
        <v>-0.62625666666666668</v>
      </c>
      <c r="O122" s="11"/>
      <c r="P122" s="6">
        <v>5614.14</v>
      </c>
      <c r="Q122" s="2"/>
      <c r="R122" s="7">
        <f t="shared" si="74"/>
        <v>1.2131388634515072E-3</v>
      </c>
      <c r="S122" s="2"/>
      <c r="T122" s="6">
        <v>18700</v>
      </c>
      <c r="U122" s="2"/>
      <c r="V122" s="7">
        <f t="shared" si="75"/>
        <v>3.0450005487514357E-3</v>
      </c>
      <c r="W122" s="2"/>
      <c r="X122" s="6">
        <f t="shared" si="76"/>
        <v>-13085.86</v>
      </c>
      <c r="Y122" s="2"/>
      <c r="Z122" s="7">
        <f t="shared" si="77"/>
        <v>-0.69977860962566851</v>
      </c>
    </row>
    <row r="123" spans="1:26" s="28" customFormat="1" outlineLevel="1" collapsed="1" x14ac:dyDescent="0.3">
      <c r="A123" s="27"/>
      <c r="B123" s="14" t="str">
        <f>CONCATENATE("     ","Services                                          ")</f>
        <v xml:space="preserve">     Services                                          </v>
      </c>
      <c r="C123" s="14"/>
      <c r="D123" s="1">
        <f>SUM(OSRRefD22_18x_0)</f>
        <v>4823.41</v>
      </c>
      <c r="E123" s="1"/>
      <c r="F123" s="5">
        <f t="shared" ref="F123:F126" si="78">IF(D$12=0,0,D123/D$12)</f>
        <v>7.6348146891352039E-3</v>
      </c>
      <c r="G123" s="1"/>
      <c r="H123" s="1">
        <f>SUM(OSRRefH22_18x_0)</f>
        <v>4420</v>
      </c>
      <c r="I123" s="1"/>
      <c r="J123" s="5">
        <f t="shared" ref="J123:J126" si="79">IF(H$12=0,0,H123/H$12)</f>
        <v>9.2549551700022194E-3</v>
      </c>
      <c r="K123" s="1"/>
      <c r="L123" s="1">
        <f t="shared" ref="L123:L126" si="80">+D123-H123</f>
        <v>403.40999999999985</v>
      </c>
      <c r="M123" s="1"/>
      <c r="N123" s="5">
        <f t="shared" ref="N123:N126" si="81">IF(H123=0,0,L123/H123)</f>
        <v>9.1269230769230741E-2</v>
      </c>
      <c r="O123" s="14"/>
      <c r="P123" s="1">
        <f>SUM(OSRRefP22_18x_0)</f>
        <v>35786.99</v>
      </c>
      <c r="Q123" s="1"/>
      <c r="R123" s="5">
        <f t="shared" ref="R123:R126" si="82">IF(P$12=0,0,P123/P$12)</f>
        <v>7.7330790423734436E-3</v>
      </c>
      <c r="S123" s="1"/>
      <c r="T123" s="1">
        <f>SUM(OSRRefT22_18x_0)</f>
        <v>26280</v>
      </c>
      <c r="U123" s="1"/>
      <c r="V123" s="5">
        <f t="shared" ref="V123:V126" si="83">IF(T$12=0,0,T123/T$12)</f>
        <v>4.2792841936464031E-3</v>
      </c>
      <c r="W123" s="1"/>
      <c r="X123" s="1">
        <f t="shared" ref="X123:X126" si="84">+P123-T123</f>
        <v>9506.989999999998</v>
      </c>
      <c r="Y123" s="1"/>
      <c r="Z123" s="5">
        <f t="shared" ref="Z123:Z126" si="85">IF(T123=0,0,X123/T123)</f>
        <v>0.36175761035007603</v>
      </c>
    </row>
    <row r="124" spans="1:26" s="24" customFormat="1" hidden="1" outlineLevel="2" x14ac:dyDescent="0.3">
      <c r="A124" s="29"/>
      <c r="B124" s="11" t="str">
        <f>CONCATENATE("          ", "6282", " - ", "JANITORIAL/EXTERMINATOR EXPENS")</f>
        <v xml:space="preserve">          6282 - JANITORIAL/EXTERMINATOR EXPENS</v>
      </c>
      <c r="C124" s="11"/>
      <c r="D124" s="6">
        <v>267</v>
      </c>
      <c r="E124" s="2"/>
      <c r="F124" s="7">
        <f t="shared" si="78"/>
        <v>4.2262538784782958E-4</v>
      </c>
      <c r="G124" s="2"/>
      <c r="H124" s="6">
        <v>4300</v>
      </c>
      <c r="I124" s="2"/>
      <c r="J124" s="7">
        <f t="shared" si="79"/>
        <v>9.0036894187804396E-3</v>
      </c>
      <c r="K124" s="2"/>
      <c r="L124" s="6">
        <f t="shared" si="80"/>
        <v>-4033</v>
      </c>
      <c r="M124" s="2"/>
      <c r="N124" s="7">
        <f t="shared" si="81"/>
        <v>-0.93790697674418599</v>
      </c>
      <c r="O124" s="11"/>
      <c r="P124" s="6">
        <v>2124.6799999999998</v>
      </c>
      <c r="Q124" s="2"/>
      <c r="R124" s="7">
        <f t="shared" si="82"/>
        <v>4.5911428649769118E-4</v>
      </c>
      <c r="S124" s="2"/>
      <c r="T124" s="6">
        <v>25800</v>
      </c>
      <c r="U124" s="2"/>
      <c r="V124" s="7">
        <f t="shared" si="83"/>
        <v>4.2011237517533178E-3</v>
      </c>
      <c r="W124" s="2"/>
      <c r="X124" s="6">
        <f t="shared" si="84"/>
        <v>-23675.32</v>
      </c>
      <c r="Y124" s="2"/>
      <c r="Z124" s="7">
        <f t="shared" si="85"/>
        <v>-0.91764806201550386</v>
      </c>
    </row>
    <row r="125" spans="1:26" s="24" customFormat="1" hidden="1" outlineLevel="2" x14ac:dyDescent="0.3">
      <c r="A125" s="29"/>
      <c r="B125" s="11" t="str">
        <f>CONCATENATE("          ", "6284", " - ", "TRASH REMOVAL EXPENSE")</f>
        <v xml:space="preserve">          6284 - TRASH REMOVAL EXPENSE</v>
      </c>
      <c r="C125" s="11"/>
      <c r="D125" s="6">
        <v>149.69999999999999</v>
      </c>
      <c r="E125" s="2"/>
      <c r="F125" s="7">
        <f t="shared" si="78"/>
        <v>2.3695513318659206E-4</v>
      </c>
      <c r="G125" s="2"/>
      <c r="H125" s="6">
        <v>120</v>
      </c>
      <c r="I125" s="2"/>
      <c r="J125" s="7">
        <f t="shared" si="79"/>
        <v>2.5126575122177969E-4</v>
      </c>
      <c r="K125" s="2"/>
      <c r="L125" s="6">
        <f t="shared" si="80"/>
        <v>29.699999999999989</v>
      </c>
      <c r="M125" s="2"/>
      <c r="N125" s="7">
        <f t="shared" si="81"/>
        <v>0.24749999999999991</v>
      </c>
      <c r="O125" s="11"/>
      <c r="P125" s="6">
        <v>891.07</v>
      </c>
      <c r="Q125" s="2"/>
      <c r="R125" s="7">
        <f t="shared" si="82"/>
        <v>1.9254803889032595E-4</v>
      </c>
      <c r="S125" s="2"/>
      <c r="T125" s="6">
        <v>480</v>
      </c>
      <c r="U125" s="2"/>
      <c r="V125" s="7">
        <f t="shared" si="83"/>
        <v>7.8160441893084987E-5</v>
      </c>
      <c r="W125" s="2"/>
      <c r="X125" s="6">
        <f t="shared" si="84"/>
        <v>411.07000000000005</v>
      </c>
      <c r="Y125" s="2"/>
      <c r="Z125" s="7">
        <f t="shared" si="85"/>
        <v>0.85639583333333347</v>
      </c>
    </row>
    <row r="126" spans="1:26" s="24" customFormat="1" hidden="1" outlineLevel="2" x14ac:dyDescent="0.3">
      <c r="A126" s="29"/>
      <c r="B126" s="11" t="str">
        <f>CONCATENATE("          ", "6285", " - ", "JANITORIAL SERVICES")</f>
        <v xml:space="preserve">          6285 - JANITORIAL SERVICES</v>
      </c>
      <c r="C126" s="11"/>
      <c r="D126" s="6">
        <v>4406.71</v>
      </c>
      <c r="E126" s="2"/>
      <c r="F126" s="7">
        <f t="shared" si="78"/>
        <v>6.9752341681007827E-3</v>
      </c>
      <c r="G126" s="2"/>
      <c r="H126" s="6"/>
      <c r="I126" s="2"/>
      <c r="J126" s="7">
        <f t="shared" si="79"/>
        <v>0</v>
      </c>
      <c r="K126" s="2"/>
      <c r="L126" s="6">
        <f t="shared" si="80"/>
        <v>4406.71</v>
      </c>
      <c r="M126" s="2"/>
      <c r="N126" s="7">
        <f t="shared" si="81"/>
        <v>0</v>
      </c>
      <c r="O126" s="11"/>
      <c r="P126" s="6">
        <v>32771.24</v>
      </c>
      <c r="Q126" s="2"/>
      <c r="R126" s="7">
        <f t="shared" si="82"/>
        <v>7.0814167169854269E-3</v>
      </c>
      <c r="S126" s="2"/>
      <c r="T126" s="6"/>
      <c r="U126" s="2"/>
      <c r="V126" s="7">
        <f t="shared" si="83"/>
        <v>0</v>
      </c>
      <c r="W126" s="2"/>
      <c r="X126" s="6">
        <f t="shared" si="84"/>
        <v>32771.24</v>
      </c>
      <c r="Y126" s="2"/>
      <c r="Z126" s="7">
        <f t="shared" si="85"/>
        <v>0</v>
      </c>
    </row>
    <row r="127" spans="1:26" s="28" customFormat="1" outlineLevel="1" collapsed="1" x14ac:dyDescent="0.3">
      <c r="A127" s="27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1">
        <f>SUM(OSRRefD22_19x_0)</f>
        <v>286.24</v>
      </c>
      <c r="E127" s="1"/>
      <c r="F127" s="5">
        <f t="shared" ref="F127:F129" si="86">IF(D$12=0,0,D127/D$12)</f>
        <v>4.5307974163881178E-4</v>
      </c>
      <c r="G127" s="1"/>
      <c r="H127" s="1">
        <f>SUM(OSRRefH22_19x_0)</f>
        <v>1361</v>
      </c>
      <c r="I127" s="1"/>
      <c r="J127" s="5">
        <f t="shared" ref="J127:J129" si="87">IF(H$12=0,0,H127/H$12)</f>
        <v>2.8497723951070183E-3</v>
      </c>
      <c r="K127" s="1"/>
      <c r="L127" s="1">
        <f t="shared" ref="L127:L129" si="88">+D127-H127</f>
        <v>-1074.76</v>
      </c>
      <c r="M127" s="1"/>
      <c r="N127" s="5">
        <f t="shared" ref="N127:N129" si="89">IF(H127=0,0,L127/H127)</f>
        <v>-0.7896840558412932</v>
      </c>
      <c r="O127" s="14"/>
      <c r="P127" s="1">
        <f>SUM(OSRRefP22_19x_0)</f>
        <v>1391.74</v>
      </c>
      <c r="Q127" s="1"/>
      <c r="R127" s="5">
        <f t="shared" ref="R127:R129" si="90">IF(P$12=0,0,P127/P$12)</f>
        <v>3.0073597769560438E-4</v>
      </c>
      <c r="S127" s="1"/>
      <c r="T127" s="1">
        <f>SUM(OSRRefT22_19x_0)</f>
        <v>6621</v>
      </c>
      <c r="U127" s="1"/>
      <c r="V127" s="5">
        <f t="shared" ref="V127:V129" si="91">IF(T$12=0,0,T127/T$12)</f>
        <v>1.078125595362741E-3</v>
      </c>
      <c r="W127" s="1"/>
      <c r="X127" s="1">
        <f t="shared" ref="X127:X129" si="92">+P127-T127</f>
        <v>-5229.26</v>
      </c>
      <c r="Y127" s="1"/>
      <c r="Z127" s="5">
        <f t="shared" ref="Z127:Z129" si="93">IF(T127=0,0,X127/T127)</f>
        <v>-0.78979912399939589</v>
      </c>
    </row>
    <row r="128" spans="1:26" s="24" customFormat="1" hidden="1" outlineLevel="2" x14ac:dyDescent="0.3">
      <c r="A128" s="29"/>
      <c r="B128" s="11" t="str">
        <f>CONCATENATE("          ", "6258", " - ", "MEMBERSHIP DUES")</f>
        <v xml:space="preserve">          6258 - MEMBERSHIP DUES</v>
      </c>
      <c r="C128" s="11"/>
      <c r="D128" s="6">
        <v>286.24</v>
      </c>
      <c r="E128" s="2"/>
      <c r="F128" s="7">
        <f t="shared" si="86"/>
        <v>4.5307974163881178E-4</v>
      </c>
      <c r="G128" s="2"/>
      <c r="H128" s="6">
        <v>1300</v>
      </c>
      <c r="I128" s="2"/>
      <c r="J128" s="7">
        <f t="shared" si="87"/>
        <v>2.7220456382359469E-3</v>
      </c>
      <c r="K128" s="2"/>
      <c r="L128" s="6">
        <f t="shared" si="88"/>
        <v>-1013.76</v>
      </c>
      <c r="M128" s="2"/>
      <c r="N128" s="7">
        <f t="shared" si="89"/>
        <v>-0.77981538461538458</v>
      </c>
      <c r="O128" s="11"/>
      <c r="P128" s="6">
        <v>1391.74</v>
      </c>
      <c r="Q128" s="2"/>
      <c r="R128" s="7">
        <f t="shared" si="90"/>
        <v>3.0073597769560438E-4</v>
      </c>
      <c r="S128" s="2"/>
      <c r="T128" s="6">
        <v>6195</v>
      </c>
      <c r="U128" s="2"/>
      <c r="V128" s="7">
        <f t="shared" si="91"/>
        <v>1.0087582031826281E-3</v>
      </c>
      <c r="W128" s="2"/>
      <c r="X128" s="6">
        <f t="shared" si="92"/>
        <v>-4803.26</v>
      </c>
      <c r="Y128" s="2"/>
      <c r="Z128" s="7">
        <f t="shared" si="93"/>
        <v>-0.77534463276836163</v>
      </c>
    </row>
    <row r="129" spans="1:26" s="24" customFormat="1" hidden="1" outlineLevel="2" x14ac:dyDescent="0.3">
      <c r="A129" s="29"/>
      <c r="B129" s="11" t="str">
        <f>CONCATENATE("          ", "6275", " - ", "SUBSCRIPTIONS")</f>
        <v xml:space="preserve">          6275 - SUBSCRIPTIONS</v>
      </c>
      <c r="C129" s="11"/>
      <c r="D129" s="6"/>
      <c r="E129" s="2"/>
      <c r="F129" s="7">
        <f t="shared" si="86"/>
        <v>0</v>
      </c>
      <c r="G129" s="2"/>
      <c r="H129" s="6">
        <v>61</v>
      </c>
      <c r="I129" s="2"/>
      <c r="J129" s="7">
        <f t="shared" si="87"/>
        <v>1.2772675687107137E-4</v>
      </c>
      <c r="K129" s="2"/>
      <c r="L129" s="6">
        <f t="shared" si="88"/>
        <v>-61</v>
      </c>
      <c r="M129" s="2"/>
      <c r="N129" s="7">
        <f t="shared" si="89"/>
        <v>-1</v>
      </c>
      <c r="O129" s="11"/>
      <c r="P129" s="6"/>
      <c r="Q129" s="2"/>
      <c r="R129" s="7">
        <f t="shared" si="90"/>
        <v>0</v>
      </c>
      <c r="S129" s="2"/>
      <c r="T129" s="6">
        <v>426</v>
      </c>
      <c r="U129" s="2"/>
      <c r="V129" s="7">
        <f t="shared" si="91"/>
        <v>6.9367392180112917E-5</v>
      </c>
      <c r="W129" s="2"/>
      <c r="X129" s="6">
        <f t="shared" si="92"/>
        <v>-426</v>
      </c>
      <c r="Y129" s="2"/>
      <c r="Z129" s="7">
        <f t="shared" si="93"/>
        <v>-1</v>
      </c>
    </row>
    <row r="130" spans="1:26" s="28" customFormat="1" outlineLevel="1" collapsed="1" x14ac:dyDescent="0.3">
      <c r="A130" s="27"/>
      <c r="B130" s="14" t="str">
        <f>CONCATENATE("     ","Supplies                                          ")</f>
        <v xml:space="preserve">     Supplies                                          </v>
      </c>
      <c r="C130" s="14"/>
      <c r="D130" s="1">
        <f>SUM(OSRRefD22_20x_0)</f>
        <v>6011.63</v>
      </c>
      <c r="E130" s="1"/>
      <c r="F130" s="5">
        <f t="shared" ref="F130:F137" si="94">IF(D$12=0,0,D130/D$12)</f>
        <v>9.5156084657215274E-3</v>
      </c>
      <c r="G130" s="1"/>
      <c r="H130" s="1">
        <f>SUM(OSRRefH22_20x_0)</f>
        <v>8640</v>
      </c>
      <c r="I130" s="1"/>
      <c r="J130" s="5">
        <f t="shared" ref="J130:J137" si="95">IF(H$12=0,0,H130/H$12)</f>
        <v>1.8091134087968138E-2</v>
      </c>
      <c r="K130" s="1"/>
      <c r="L130" s="1">
        <f t="shared" ref="L130:L137" si="96">+D130-H130</f>
        <v>-2628.37</v>
      </c>
      <c r="M130" s="1"/>
      <c r="N130" s="5">
        <f t="shared" ref="N130:N137" si="97">IF(H130=0,0,L130/H130)</f>
        <v>-0.30420949074074072</v>
      </c>
      <c r="O130" s="14"/>
      <c r="P130" s="1">
        <f>SUM(OSRRefP22_20x_0)</f>
        <v>56024.25</v>
      </c>
      <c r="Q130" s="1"/>
      <c r="R130" s="5">
        <f t="shared" ref="R130:R137" si="98">IF(P$12=0,0,P130/P$12)</f>
        <v>1.2106074121899898E-2</v>
      </c>
      <c r="S130" s="1"/>
      <c r="T130" s="1">
        <f>SUM(OSRRefT22_20x_0)</f>
        <v>62020</v>
      </c>
      <c r="U130" s="1"/>
      <c r="V130" s="5">
        <f t="shared" ref="V130:V137" si="99">IF(T$12=0,0,T130/T$12)</f>
        <v>1.0098980429602356E-2</v>
      </c>
      <c r="W130" s="1"/>
      <c r="X130" s="1">
        <f t="shared" ref="X130:X137" si="100">+P130-T130</f>
        <v>-5995.75</v>
      </c>
      <c r="Y130" s="1"/>
      <c r="Z130" s="5">
        <f t="shared" ref="Z130:Z137" si="101">IF(T130=0,0,X130/T130)</f>
        <v>-9.667445985166076E-2</v>
      </c>
    </row>
    <row r="131" spans="1:26" s="24" customFormat="1" hidden="1" outlineLevel="2" x14ac:dyDescent="0.3">
      <c r="A131" s="29"/>
      <c r="B131" s="11" t="str">
        <f>CONCATENATE("          ", "6234", " - ", "EXPENDABLE SUPPLIES &amp; EQUIPMEN")</f>
        <v xml:space="preserve">          6234 - EXPENDABLE SUPPLIES &amp; EQUIPMEN</v>
      </c>
      <c r="C131" s="11"/>
      <c r="D131" s="6"/>
      <c r="E131" s="2"/>
      <c r="F131" s="7">
        <f t="shared" si="94"/>
        <v>0</v>
      </c>
      <c r="G131" s="2"/>
      <c r="H131" s="6">
        <v>300</v>
      </c>
      <c r="I131" s="2"/>
      <c r="J131" s="7">
        <f t="shared" si="95"/>
        <v>6.2816437805444925E-4</v>
      </c>
      <c r="K131" s="2"/>
      <c r="L131" s="6">
        <f t="shared" si="96"/>
        <v>-300</v>
      </c>
      <c r="M131" s="2"/>
      <c r="N131" s="7">
        <f t="shared" si="97"/>
        <v>-1</v>
      </c>
      <c r="O131" s="11"/>
      <c r="P131" s="6">
        <v>5289.57</v>
      </c>
      <c r="Q131" s="2"/>
      <c r="R131" s="7">
        <f t="shared" si="98"/>
        <v>1.1430037259397144E-3</v>
      </c>
      <c r="S131" s="2"/>
      <c r="T131" s="6">
        <v>1200</v>
      </c>
      <c r="U131" s="2"/>
      <c r="V131" s="7">
        <f t="shared" si="99"/>
        <v>1.9540110473271246E-4</v>
      </c>
      <c r="W131" s="2"/>
      <c r="X131" s="6">
        <f t="shared" si="100"/>
        <v>4089.5699999999997</v>
      </c>
      <c r="Y131" s="2"/>
      <c r="Z131" s="7">
        <f t="shared" si="101"/>
        <v>3.407975</v>
      </c>
    </row>
    <row r="132" spans="1:26" s="24" customFormat="1" hidden="1" outlineLevel="2" x14ac:dyDescent="0.3">
      <c r="A132" s="29"/>
      <c r="B132" s="11" t="str">
        <f>CONCATENATE("          ", "6235", " - ", "COVID-19 EXPENSES")</f>
        <v xml:space="preserve">          6235 - COVID-19 EXPENSES</v>
      </c>
      <c r="C132" s="11"/>
      <c r="D132" s="6"/>
      <c r="E132" s="2"/>
      <c r="F132" s="7">
        <f t="shared" si="94"/>
        <v>0</v>
      </c>
      <c r="G132" s="2"/>
      <c r="H132" s="6">
        <v>125</v>
      </c>
      <c r="I132" s="2"/>
      <c r="J132" s="7">
        <f t="shared" si="95"/>
        <v>2.617351575226872E-4</v>
      </c>
      <c r="K132" s="2"/>
      <c r="L132" s="6">
        <f t="shared" si="96"/>
        <v>-125</v>
      </c>
      <c r="M132" s="2"/>
      <c r="N132" s="7">
        <f t="shared" si="97"/>
        <v>-1</v>
      </c>
      <c r="O132" s="11"/>
      <c r="P132" s="6">
        <v>3430.32</v>
      </c>
      <c r="Q132" s="2"/>
      <c r="R132" s="7">
        <f t="shared" si="98"/>
        <v>7.4124523187433405E-4</v>
      </c>
      <c r="S132" s="2"/>
      <c r="T132" s="6">
        <v>750</v>
      </c>
      <c r="U132" s="2"/>
      <c r="V132" s="7">
        <f t="shared" si="99"/>
        <v>1.2212569045794529E-4</v>
      </c>
      <c r="W132" s="2"/>
      <c r="X132" s="6">
        <f t="shared" si="100"/>
        <v>2680.32</v>
      </c>
      <c r="Y132" s="2"/>
      <c r="Z132" s="7">
        <f t="shared" si="101"/>
        <v>3.57376</v>
      </c>
    </row>
    <row r="133" spans="1:26" s="24" customFormat="1" hidden="1" outlineLevel="2" x14ac:dyDescent="0.3">
      <c r="A133" s="29"/>
      <c r="B133" s="11" t="str">
        <f>CONCATENATE("          ", "6237", " - ", "JANITORIAL SUPPLIES")</f>
        <v xml:space="preserve">          6237 - JANITORIAL SUPPLIES</v>
      </c>
      <c r="C133" s="11"/>
      <c r="D133" s="6"/>
      <c r="E133" s="2"/>
      <c r="F133" s="7">
        <f t="shared" si="94"/>
        <v>0</v>
      </c>
      <c r="G133" s="2"/>
      <c r="H133" s="6">
        <v>50</v>
      </c>
      <c r="I133" s="2"/>
      <c r="J133" s="7">
        <f t="shared" si="95"/>
        <v>1.0469406300907488E-4</v>
      </c>
      <c r="K133" s="2"/>
      <c r="L133" s="6">
        <f t="shared" si="96"/>
        <v>-50</v>
      </c>
      <c r="M133" s="2"/>
      <c r="N133" s="7">
        <f t="shared" si="97"/>
        <v>-1</v>
      </c>
      <c r="O133" s="11"/>
      <c r="P133" s="6">
        <v>3866.14</v>
      </c>
      <c r="Q133" s="2"/>
      <c r="R133" s="7">
        <f t="shared" si="98"/>
        <v>8.3541997270185808E-4</v>
      </c>
      <c r="S133" s="2"/>
      <c r="T133" s="6">
        <v>140</v>
      </c>
      <c r="U133" s="2"/>
      <c r="V133" s="7">
        <f t="shared" si="99"/>
        <v>2.2796795552149785E-5</v>
      </c>
      <c r="W133" s="2"/>
      <c r="X133" s="6">
        <f t="shared" si="100"/>
        <v>3726.14</v>
      </c>
      <c r="Y133" s="2"/>
      <c r="Z133" s="7">
        <f t="shared" si="101"/>
        <v>26.615285714285715</v>
      </c>
    </row>
    <row r="134" spans="1:26" s="24" customFormat="1" hidden="1" outlineLevel="2" x14ac:dyDescent="0.3">
      <c r="A134" s="29"/>
      <c r="B134" s="11" t="str">
        <f>CONCATENATE("          ", "6241", " - ", "OFFICE EXPENSE")</f>
        <v xml:space="preserve">          6241 - OFFICE EXPENSE</v>
      </c>
      <c r="C134" s="11"/>
      <c r="D134" s="6">
        <v>886.72</v>
      </c>
      <c r="E134" s="2"/>
      <c r="F134" s="7">
        <f t="shared" si="94"/>
        <v>1.403559490308717E-3</v>
      </c>
      <c r="G134" s="2"/>
      <c r="H134" s="6">
        <v>1080</v>
      </c>
      <c r="I134" s="2"/>
      <c r="J134" s="7">
        <f t="shared" si="95"/>
        <v>2.2613917609960173E-3</v>
      </c>
      <c r="K134" s="2"/>
      <c r="L134" s="6">
        <f t="shared" si="96"/>
        <v>-193.27999999999997</v>
      </c>
      <c r="M134" s="2"/>
      <c r="N134" s="7">
        <f t="shared" si="97"/>
        <v>-0.17896296296296293</v>
      </c>
      <c r="O134" s="11"/>
      <c r="P134" s="6">
        <v>8792.24</v>
      </c>
      <c r="Q134" s="2"/>
      <c r="R134" s="7">
        <f t="shared" si="98"/>
        <v>1.8998828032063466E-3</v>
      </c>
      <c r="S134" s="2"/>
      <c r="T134" s="6">
        <v>4280</v>
      </c>
      <c r="U134" s="2"/>
      <c r="V134" s="7">
        <f t="shared" si="99"/>
        <v>6.9693060688000774E-4</v>
      </c>
      <c r="W134" s="2"/>
      <c r="X134" s="6">
        <f t="shared" si="100"/>
        <v>4512.24</v>
      </c>
      <c r="Y134" s="2"/>
      <c r="Z134" s="7">
        <f t="shared" si="101"/>
        <v>1.0542616822429907</v>
      </c>
    </row>
    <row r="135" spans="1:26" s="24" customFormat="1" hidden="1" outlineLevel="2" x14ac:dyDescent="0.3">
      <c r="A135" s="29"/>
      <c r="B135" s="11" t="str">
        <f>CONCATENATE("          ", "6243", " - ", "PAPER SUPPLIES")</f>
        <v xml:space="preserve">          6243 - PAPER SUPPLIES</v>
      </c>
      <c r="C135" s="11"/>
      <c r="D135" s="6"/>
      <c r="E135" s="2"/>
      <c r="F135" s="7">
        <f t="shared" si="94"/>
        <v>0</v>
      </c>
      <c r="G135" s="2"/>
      <c r="H135" s="6">
        <v>1200</v>
      </c>
      <c r="I135" s="2"/>
      <c r="J135" s="7">
        <f t="shared" si="95"/>
        <v>2.512657512217797E-3</v>
      </c>
      <c r="K135" s="2"/>
      <c r="L135" s="6">
        <f t="shared" si="96"/>
        <v>-1200</v>
      </c>
      <c r="M135" s="2"/>
      <c r="N135" s="7">
        <f t="shared" si="97"/>
        <v>-1</v>
      </c>
      <c r="O135" s="11"/>
      <c r="P135" s="6">
        <v>4470.8999999999996</v>
      </c>
      <c r="Q135" s="2"/>
      <c r="R135" s="7">
        <f t="shared" si="98"/>
        <v>9.6610033675778345E-4</v>
      </c>
      <c r="S135" s="2"/>
      <c r="T135" s="6">
        <v>18900</v>
      </c>
      <c r="U135" s="2"/>
      <c r="V135" s="7">
        <f t="shared" si="99"/>
        <v>3.077567399540221E-3</v>
      </c>
      <c r="W135" s="2"/>
      <c r="X135" s="6">
        <f t="shared" si="100"/>
        <v>-14429.1</v>
      </c>
      <c r="Y135" s="2"/>
      <c r="Z135" s="7">
        <f t="shared" si="101"/>
        <v>-0.76344444444444448</v>
      </c>
    </row>
    <row r="136" spans="1:26" s="24" customFormat="1" hidden="1" outlineLevel="2" x14ac:dyDescent="0.3">
      <c r="A136" s="29"/>
      <c r="B136" s="11" t="str">
        <f>CONCATENATE("          ", "6245", " - ", "PRINTING")</f>
        <v xml:space="preserve">          6245 - PRINTING</v>
      </c>
      <c r="C136" s="11"/>
      <c r="D136" s="6">
        <v>1046.49</v>
      </c>
      <c r="E136" s="2"/>
      <c r="F136" s="7">
        <f t="shared" si="94"/>
        <v>1.656454090370319E-3</v>
      </c>
      <c r="G136" s="2"/>
      <c r="H136" s="6">
        <v>160</v>
      </c>
      <c r="I136" s="2"/>
      <c r="J136" s="7">
        <f t="shared" si="95"/>
        <v>3.3502100162903964E-4</v>
      </c>
      <c r="K136" s="2"/>
      <c r="L136" s="6">
        <f t="shared" si="96"/>
        <v>886.49</v>
      </c>
      <c r="M136" s="2"/>
      <c r="N136" s="7">
        <f t="shared" si="97"/>
        <v>5.5405625000000001</v>
      </c>
      <c r="O136" s="11"/>
      <c r="P136" s="6">
        <v>2111.98</v>
      </c>
      <c r="Q136" s="2"/>
      <c r="R136" s="7">
        <f t="shared" si="98"/>
        <v>4.5636999020906387E-4</v>
      </c>
      <c r="S136" s="2"/>
      <c r="T136" s="6">
        <v>2145</v>
      </c>
      <c r="U136" s="2"/>
      <c r="V136" s="7">
        <f t="shared" si="99"/>
        <v>3.4927947470972354E-4</v>
      </c>
      <c r="W136" s="2"/>
      <c r="X136" s="6">
        <f t="shared" si="100"/>
        <v>-33.019999999999982</v>
      </c>
      <c r="Y136" s="2"/>
      <c r="Z136" s="7">
        <f t="shared" si="101"/>
        <v>-1.5393939393939385E-2</v>
      </c>
    </row>
    <row r="137" spans="1:26" s="24" customFormat="1" hidden="1" outlineLevel="2" x14ac:dyDescent="0.3">
      <c r="A137" s="29"/>
      <c r="B137" s="11" t="str">
        <f>CONCATENATE("          ", "6247", " - ", "STORE SUPPLIES")</f>
        <v xml:space="preserve">          6247 - STORE SUPPLIES</v>
      </c>
      <c r="C137" s="11"/>
      <c r="D137" s="6">
        <v>4078.42</v>
      </c>
      <c r="E137" s="2"/>
      <c r="F137" s="7">
        <f t="shared" si="94"/>
        <v>6.4555948850424909E-3</v>
      </c>
      <c r="G137" s="2"/>
      <c r="H137" s="6">
        <v>5725</v>
      </c>
      <c r="I137" s="2"/>
      <c r="J137" s="7">
        <f t="shared" si="95"/>
        <v>1.1987470214539074E-2</v>
      </c>
      <c r="K137" s="2"/>
      <c r="L137" s="6">
        <f t="shared" si="96"/>
        <v>-1646.58</v>
      </c>
      <c r="M137" s="2"/>
      <c r="N137" s="7">
        <f t="shared" si="97"/>
        <v>-0.28761222707423578</v>
      </c>
      <c r="O137" s="11"/>
      <c r="P137" s="6">
        <v>28063.1</v>
      </c>
      <c r="Q137" s="2"/>
      <c r="R137" s="7">
        <f t="shared" si="98"/>
        <v>6.0640520612107972E-3</v>
      </c>
      <c r="S137" s="2"/>
      <c r="T137" s="6">
        <v>34605</v>
      </c>
      <c r="U137" s="2"/>
      <c r="V137" s="7">
        <f t="shared" si="99"/>
        <v>5.6348793577295957E-3</v>
      </c>
      <c r="W137" s="2"/>
      <c r="X137" s="6">
        <f t="shared" si="100"/>
        <v>-6541.9000000000015</v>
      </c>
      <c r="Y137" s="2"/>
      <c r="Z137" s="7">
        <f t="shared" si="101"/>
        <v>-0.18904493570293315</v>
      </c>
    </row>
    <row r="138" spans="1:26" s="28" customFormat="1" outlineLevel="1" collapsed="1" x14ac:dyDescent="0.3">
      <c r="A138" s="27"/>
      <c r="B138" s="14" t="str">
        <f>CONCATENATE("     ","Telephone/Data Lines                              ")</f>
        <v xml:space="preserve">     Telephone/Data Lines                              </v>
      </c>
      <c r="C138" s="14"/>
      <c r="D138" s="1">
        <f>SUM(OSRRefD22_21x_0)</f>
        <v>1372.46</v>
      </c>
      <c r="E138" s="1"/>
      <c r="F138" s="5">
        <f t="shared" ref="F138:F140" si="102">IF(D$12=0,0,D138/D$12)</f>
        <v>2.1724211228675364E-3</v>
      </c>
      <c r="G138" s="1"/>
      <c r="H138" s="1">
        <f>SUM(OSRRefH22_21x_0)</f>
        <v>2210</v>
      </c>
      <c r="I138" s="1"/>
      <c r="J138" s="5">
        <f t="shared" ref="J138:J140" si="103">IF(H$12=0,0,H138/H$12)</f>
        <v>4.6274775850011097E-3</v>
      </c>
      <c r="K138" s="1"/>
      <c r="L138" s="1">
        <f t="shared" ref="L138:L140" si="104">+D138-H138</f>
        <v>-837.54</v>
      </c>
      <c r="M138" s="1"/>
      <c r="N138" s="5">
        <f t="shared" ref="N138:N140" si="105">IF(H138=0,0,L138/H138)</f>
        <v>-0.37897737556561084</v>
      </c>
      <c r="O138" s="14"/>
      <c r="P138" s="1">
        <f>SUM(OSRRefP22_21x_0)</f>
        <v>11921.21</v>
      </c>
      <c r="Q138" s="1"/>
      <c r="R138" s="5">
        <f t="shared" ref="R138:R140" si="106">IF(P$12=0,0,P138/P$12)</f>
        <v>2.5760104219643152E-3</v>
      </c>
      <c r="S138" s="1"/>
      <c r="T138" s="1">
        <f>SUM(OSRRefT22_21x_0)</f>
        <v>12860</v>
      </c>
      <c r="U138" s="1"/>
      <c r="V138" s="5">
        <f t="shared" ref="V138:V140" si="107">IF(T$12=0,0,T138/T$12)</f>
        <v>2.0940485057189019E-3</v>
      </c>
      <c r="W138" s="1"/>
      <c r="X138" s="1">
        <f t="shared" ref="X138:X140" si="108">+P138-T138</f>
        <v>-938.79000000000087</v>
      </c>
      <c r="Y138" s="1"/>
      <c r="Z138" s="5">
        <f t="shared" ref="Z138:Z140" si="109">IF(T138=0,0,X138/T138)</f>
        <v>-7.3000777604976738E-2</v>
      </c>
    </row>
    <row r="139" spans="1:26" s="24" customFormat="1" hidden="1" outlineLevel="2" x14ac:dyDescent="0.3">
      <c r="A139" s="29"/>
      <c r="B139" s="11" t="str">
        <f>CONCATENATE("          ", "6303", " - ", "DATA PHONE LINES")</f>
        <v xml:space="preserve">          6303 - DATA PHONE LINES</v>
      </c>
      <c r="C139" s="11"/>
      <c r="D139" s="6"/>
      <c r="E139" s="2"/>
      <c r="F139" s="7">
        <f t="shared" si="102"/>
        <v>0</v>
      </c>
      <c r="G139" s="2"/>
      <c r="H139" s="6">
        <v>0</v>
      </c>
      <c r="I139" s="2"/>
      <c r="J139" s="7">
        <f t="shared" si="103"/>
        <v>0</v>
      </c>
      <c r="K139" s="2"/>
      <c r="L139" s="6">
        <f t="shared" si="104"/>
        <v>0</v>
      </c>
      <c r="M139" s="2"/>
      <c r="N139" s="7">
        <f t="shared" si="105"/>
        <v>0</v>
      </c>
      <c r="O139" s="11"/>
      <c r="P139" s="6">
        <v>295</v>
      </c>
      <c r="Q139" s="2"/>
      <c r="R139" s="7">
        <f t="shared" si="106"/>
        <v>6.374546497205174E-5</v>
      </c>
      <c r="S139" s="2"/>
      <c r="T139" s="6">
        <v>0</v>
      </c>
      <c r="U139" s="2"/>
      <c r="V139" s="7">
        <f t="shared" si="107"/>
        <v>0</v>
      </c>
      <c r="W139" s="2"/>
      <c r="X139" s="6">
        <f t="shared" si="108"/>
        <v>295</v>
      </c>
      <c r="Y139" s="2"/>
      <c r="Z139" s="7">
        <f t="shared" si="109"/>
        <v>0</v>
      </c>
    </row>
    <row r="140" spans="1:26" s="24" customFormat="1" hidden="1" outlineLevel="2" x14ac:dyDescent="0.3">
      <c r="A140" s="29"/>
      <c r="B140" s="11" t="str">
        <f>CONCATENATE("          ", "6309", " - ", "TELEPHONE")</f>
        <v xml:space="preserve">          6309 - TELEPHONE</v>
      </c>
      <c r="C140" s="11"/>
      <c r="D140" s="6">
        <v>1372.46</v>
      </c>
      <c r="E140" s="2"/>
      <c r="F140" s="7">
        <f t="shared" si="102"/>
        <v>2.1724211228675364E-3</v>
      </c>
      <c r="G140" s="2"/>
      <c r="H140" s="6">
        <v>2210</v>
      </c>
      <c r="I140" s="2"/>
      <c r="J140" s="7">
        <f t="shared" si="103"/>
        <v>4.6274775850011097E-3</v>
      </c>
      <c r="K140" s="2"/>
      <c r="L140" s="6">
        <f t="shared" si="104"/>
        <v>-837.54</v>
      </c>
      <c r="M140" s="2"/>
      <c r="N140" s="7">
        <f t="shared" si="105"/>
        <v>-0.37897737556561084</v>
      </c>
      <c r="O140" s="11"/>
      <c r="P140" s="6">
        <v>11626.21</v>
      </c>
      <c r="Q140" s="2"/>
      <c r="R140" s="7">
        <f t="shared" si="106"/>
        <v>2.5122649569922634E-3</v>
      </c>
      <c r="S140" s="2"/>
      <c r="T140" s="6">
        <v>12860</v>
      </c>
      <c r="U140" s="2"/>
      <c r="V140" s="7">
        <f t="shared" si="107"/>
        <v>2.0940485057189019E-3</v>
      </c>
      <c r="W140" s="2"/>
      <c r="X140" s="6">
        <f t="shared" si="108"/>
        <v>-1233.7900000000009</v>
      </c>
      <c r="Y140" s="2"/>
      <c r="Z140" s="7">
        <f t="shared" si="109"/>
        <v>-9.5940124416796335E-2</v>
      </c>
    </row>
    <row r="141" spans="1:26" s="28" customFormat="1" outlineLevel="1" collapsed="1" x14ac:dyDescent="0.3">
      <c r="A141" s="27"/>
      <c r="B141" s="14" t="str">
        <f>CONCATENATE("     ","Training                                          ")</f>
        <v xml:space="preserve">     Training                                          </v>
      </c>
      <c r="C141" s="14"/>
      <c r="D141" s="1">
        <f>SUM(OSRRefD22_22x_0)</f>
        <v>0</v>
      </c>
      <c r="E141" s="1"/>
      <c r="F141" s="5">
        <f t="shared" ref="F141:F146" si="110">IF(D$12=0,0,D141/D$12)</f>
        <v>0</v>
      </c>
      <c r="G141" s="1"/>
      <c r="H141" s="1">
        <f>SUM(OSRRefH22_22x_0)</f>
        <v>0</v>
      </c>
      <c r="I141" s="1"/>
      <c r="J141" s="5">
        <f t="shared" ref="J141:J146" si="111">IF(H$12=0,0,H141/H$12)</f>
        <v>0</v>
      </c>
      <c r="K141" s="1"/>
      <c r="L141" s="1">
        <f t="shared" ref="L141:L146" si="112">+D141-H141</f>
        <v>0</v>
      </c>
      <c r="M141" s="1"/>
      <c r="N141" s="5">
        <f t="shared" ref="N141:N146" si="113">IF(H141=0,0,L141/H141)</f>
        <v>0</v>
      </c>
      <c r="O141" s="14"/>
      <c r="P141" s="1">
        <f>SUM(OSRRefP22_22x_0)</f>
        <v>595</v>
      </c>
      <c r="Q141" s="1"/>
      <c r="R141" s="5">
        <f t="shared" ref="R141:R146" si="114">IF(P$12=0,0,P141/P$12)</f>
        <v>1.2857136155379928E-4</v>
      </c>
      <c r="S141" s="1"/>
      <c r="T141" s="1">
        <f>SUM(OSRRefT22_22x_0)</f>
        <v>0</v>
      </c>
      <c r="U141" s="1"/>
      <c r="V141" s="5">
        <f t="shared" ref="V141:V146" si="115">IF(T$12=0,0,T141/T$12)</f>
        <v>0</v>
      </c>
      <c r="W141" s="1"/>
      <c r="X141" s="1">
        <f t="shared" ref="X141:X146" si="116">+P141-T141</f>
        <v>595</v>
      </c>
      <c r="Y141" s="1"/>
      <c r="Z141" s="5">
        <f t="shared" ref="Z141:Z146" si="117">IF(T141=0,0,X141/T141)</f>
        <v>0</v>
      </c>
    </row>
    <row r="142" spans="1:26" s="24" customFormat="1" hidden="1" outlineLevel="2" x14ac:dyDescent="0.3">
      <c r="A142" s="29"/>
      <c r="B142" s="11" t="str">
        <f>CONCATENATE("          ", "6376", " - ", "TRAINING")</f>
        <v xml:space="preserve">          6376 - TRAINING</v>
      </c>
      <c r="C142" s="11"/>
      <c r="D142" s="6"/>
      <c r="E142" s="2"/>
      <c r="F142" s="7">
        <f t="shared" si="110"/>
        <v>0</v>
      </c>
      <c r="G142" s="2"/>
      <c r="H142" s="6">
        <v>0</v>
      </c>
      <c r="I142" s="2"/>
      <c r="J142" s="7">
        <f t="shared" si="111"/>
        <v>0</v>
      </c>
      <c r="K142" s="2"/>
      <c r="L142" s="6">
        <f t="shared" si="112"/>
        <v>0</v>
      </c>
      <c r="M142" s="2"/>
      <c r="N142" s="7">
        <f t="shared" si="113"/>
        <v>0</v>
      </c>
      <c r="O142" s="11"/>
      <c r="P142" s="6">
        <v>595</v>
      </c>
      <c r="Q142" s="2"/>
      <c r="R142" s="7">
        <f t="shared" si="114"/>
        <v>1.2857136155379928E-4</v>
      </c>
      <c r="S142" s="2"/>
      <c r="T142" s="6">
        <v>0</v>
      </c>
      <c r="U142" s="2"/>
      <c r="V142" s="7">
        <f t="shared" si="115"/>
        <v>0</v>
      </c>
      <c r="W142" s="2"/>
      <c r="X142" s="6">
        <f t="shared" si="116"/>
        <v>595</v>
      </c>
      <c r="Y142" s="2"/>
      <c r="Z142" s="7">
        <f t="shared" si="117"/>
        <v>0</v>
      </c>
    </row>
    <row r="143" spans="1:26" s="28" customFormat="1" outlineLevel="1" collapsed="1" x14ac:dyDescent="0.3">
      <c r="A143" s="27"/>
      <c r="B143" s="14" t="str">
        <f>CONCATENATE("     ","Travel                                            ")</f>
        <v xml:space="preserve">     Travel                                            </v>
      </c>
      <c r="C143" s="14"/>
      <c r="D143" s="1">
        <f>SUM(OSRRefD22_23x_0)</f>
        <v>24.4</v>
      </c>
      <c r="E143" s="1"/>
      <c r="F143" s="5">
        <f t="shared" si="110"/>
        <v>3.8621945556131238E-5</v>
      </c>
      <c r="G143" s="1"/>
      <c r="H143" s="1">
        <f>SUM(OSRRefH22_23x_0)</f>
        <v>350</v>
      </c>
      <c r="I143" s="1"/>
      <c r="J143" s="5">
        <f t="shared" si="111"/>
        <v>7.3285844106352421E-4</v>
      </c>
      <c r="K143" s="1"/>
      <c r="L143" s="1">
        <f t="shared" si="112"/>
        <v>-325.60000000000002</v>
      </c>
      <c r="M143" s="1"/>
      <c r="N143" s="5">
        <f t="shared" si="113"/>
        <v>-0.93028571428571438</v>
      </c>
      <c r="O143" s="14"/>
      <c r="P143" s="1">
        <f>SUM(OSRRefP22_23x_0)</f>
        <v>882.0100000000001</v>
      </c>
      <c r="Q143" s="1"/>
      <c r="R143" s="5">
        <f t="shared" si="114"/>
        <v>1.9059029681355719E-4</v>
      </c>
      <c r="S143" s="1"/>
      <c r="T143" s="1">
        <f>SUM(OSRRefT22_23x_0)</f>
        <v>1300</v>
      </c>
      <c r="U143" s="1"/>
      <c r="V143" s="5">
        <f t="shared" si="115"/>
        <v>2.1168453012710515E-4</v>
      </c>
      <c r="W143" s="1"/>
      <c r="X143" s="1">
        <f t="shared" si="116"/>
        <v>-417.9899999999999</v>
      </c>
      <c r="Y143" s="1"/>
      <c r="Z143" s="5">
        <f t="shared" si="117"/>
        <v>-0.32153076923076918</v>
      </c>
    </row>
    <row r="144" spans="1:26" s="24" customFormat="1" hidden="1" outlineLevel="2" x14ac:dyDescent="0.3">
      <c r="A144" s="29"/>
      <c r="B144" s="11" t="str">
        <f>CONCATENATE("          ", "6292", " - ", "TRAVEL/CONFERENCE")</f>
        <v xml:space="preserve">          6292 - TRAVEL/CONFERENCE</v>
      </c>
      <c r="C144" s="11"/>
      <c r="D144" s="6"/>
      <c r="E144" s="2"/>
      <c r="F144" s="7">
        <f t="shared" si="110"/>
        <v>0</v>
      </c>
      <c r="G144" s="2"/>
      <c r="H144" s="6">
        <v>125</v>
      </c>
      <c r="I144" s="2"/>
      <c r="J144" s="7">
        <f t="shared" si="111"/>
        <v>2.617351575226872E-4</v>
      </c>
      <c r="K144" s="2"/>
      <c r="L144" s="6">
        <f t="shared" si="112"/>
        <v>-125</v>
      </c>
      <c r="M144" s="2"/>
      <c r="N144" s="7">
        <f t="shared" si="113"/>
        <v>-1</v>
      </c>
      <c r="O144" s="11"/>
      <c r="P144" s="6">
        <v>495</v>
      </c>
      <c r="Q144" s="2"/>
      <c r="R144" s="7">
        <f t="shared" si="114"/>
        <v>1.0696272935988344E-4</v>
      </c>
      <c r="S144" s="2"/>
      <c r="T144" s="6">
        <v>750</v>
      </c>
      <c r="U144" s="2"/>
      <c r="V144" s="7">
        <f t="shared" si="115"/>
        <v>1.2212569045794529E-4</v>
      </c>
      <c r="W144" s="2"/>
      <c r="X144" s="6">
        <f t="shared" si="116"/>
        <v>-255</v>
      </c>
      <c r="Y144" s="2"/>
      <c r="Z144" s="7">
        <f t="shared" si="117"/>
        <v>-0.34</v>
      </c>
    </row>
    <row r="145" spans="1:26" s="24" customFormat="1" hidden="1" outlineLevel="2" x14ac:dyDescent="0.3">
      <c r="A145" s="29"/>
      <c r="B145" s="11" t="str">
        <f>CONCATENATE("          ", "6294", " - ", "TRAVEL OPERATIONAL")</f>
        <v xml:space="preserve">          6294 - TRAVEL OPERATIONAL</v>
      </c>
      <c r="C145" s="11"/>
      <c r="D145" s="6">
        <v>24.4</v>
      </c>
      <c r="E145" s="2"/>
      <c r="F145" s="7">
        <f t="shared" si="110"/>
        <v>3.8621945556131238E-5</v>
      </c>
      <c r="G145" s="2"/>
      <c r="H145" s="6">
        <v>25</v>
      </c>
      <c r="I145" s="2"/>
      <c r="J145" s="7">
        <f t="shared" si="111"/>
        <v>5.2347031504537442E-5</v>
      </c>
      <c r="K145" s="2"/>
      <c r="L145" s="6">
        <f t="shared" si="112"/>
        <v>-0.60000000000000142</v>
      </c>
      <c r="M145" s="2"/>
      <c r="N145" s="7">
        <f t="shared" si="113"/>
        <v>-2.4000000000000056E-2</v>
      </c>
      <c r="O145" s="11"/>
      <c r="P145" s="6">
        <v>239.93</v>
      </c>
      <c r="Q145" s="2"/>
      <c r="R145" s="7">
        <f t="shared" si="114"/>
        <v>5.1845591222862289E-5</v>
      </c>
      <c r="S145" s="2"/>
      <c r="T145" s="6">
        <v>150</v>
      </c>
      <c r="U145" s="2"/>
      <c r="V145" s="7">
        <f t="shared" si="115"/>
        <v>2.4425138091589058E-5</v>
      </c>
      <c r="W145" s="2"/>
      <c r="X145" s="6">
        <f t="shared" si="116"/>
        <v>89.93</v>
      </c>
      <c r="Y145" s="2"/>
      <c r="Z145" s="7">
        <f t="shared" si="117"/>
        <v>0.59953333333333336</v>
      </c>
    </row>
    <row r="146" spans="1:26" s="24" customFormat="1" hidden="1" outlineLevel="2" x14ac:dyDescent="0.3">
      <c r="A146" s="29"/>
      <c r="B146" s="11" t="str">
        <f>CONCATENATE("          ", "6298", " - ", "VEHICLE MILEAGE")</f>
        <v xml:space="preserve">          6298 - VEHICLE MILEAGE</v>
      </c>
      <c r="C146" s="11"/>
      <c r="D146" s="6"/>
      <c r="E146" s="2"/>
      <c r="F146" s="7">
        <f t="shared" si="110"/>
        <v>0</v>
      </c>
      <c r="G146" s="2"/>
      <c r="H146" s="6">
        <v>200</v>
      </c>
      <c r="I146" s="2"/>
      <c r="J146" s="7">
        <f t="shared" si="111"/>
        <v>4.1877625203629954E-4</v>
      </c>
      <c r="K146" s="2"/>
      <c r="L146" s="6">
        <f t="shared" si="112"/>
        <v>-200</v>
      </c>
      <c r="M146" s="2"/>
      <c r="N146" s="7">
        <f t="shared" si="113"/>
        <v>-1</v>
      </c>
      <c r="O146" s="11"/>
      <c r="P146" s="6">
        <v>147.08000000000001</v>
      </c>
      <c r="Q146" s="2"/>
      <c r="R146" s="7">
        <f t="shared" si="114"/>
        <v>3.1781976230811432E-5</v>
      </c>
      <c r="S146" s="2"/>
      <c r="T146" s="6">
        <v>400</v>
      </c>
      <c r="U146" s="2"/>
      <c r="V146" s="7">
        <f t="shared" si="115"/>
        <v>6.513370157757082E-5</v>
      </c>
      <c r="W146" s="2"/>
      <c r="X146" s="6">
        <f t="shared" si="116"/>
        <v>-252.92</v>
      </c>
      <c r="Y146" s="2"/>
      <c r="Z146" s="7">
        <f t="shared" si="117"/>
        <v>-0.63229999999999997</v>
      </c>
    </row>
    <row r="147" spans="1:26" s="28" customFormat="1" outlineLevel="1" collapsed="1" x14ac:dyDescent="0.3">
      <c r="A147" s="27"/>
      <c r="B147" s="14" t="str">
        <f>CONCATENATE("     ","Utilities                                         ")</f>
        <v xml:space="preserve">     Utilities                                         </v>
      </c>
      <c r="C147" s="14"/>
      <c r="D147" s="1">
        <f>SUM(OSRRefD22_24x_0)</f>
        <v>62.92</v>
      </c>
      <c r="E147" s="1"/>
      <c r="F147" s="5">
        <f t="shared" ref="F147:F148" si="118">IF(D$12=0,0,D147/D$12)</f>
        <v>9.9593967802941716E-5</v>
      </c>
      <c r="G147" s="1"/>
      <c r="H147" s="1">
        <f>SUM(OSRRefH22_24x_0)</f>
        <v>6120</v>
      </c>
      <c r="I147" s="1"/>
      <c r="J147" s="5">
        <f t="shared" ref="J147:J148" si="119">IF(H$12=0,0,H147/H$12)</f>
        <v>1.2814553312310765E-2</v>
      </c>
      <c r="K147" s="1"/>
      <c r="L147" s="1">
        <f t="shared" ref="L147:L148" si="120">+D147-H147</f>
        <v>-6057.08</v>
      </c>
      <c r="M147" s="1"/>
      <c r="N147" s="5">
        <f t="shared" ref="N147:N148" si="121">IF(H147=0,0,L147/H147)</f>
        <v>-0.98971895424836598</v>
      </c>
      <c r="O147" s="14"/>
      <c r="P147" s="1">
        <f>SUM(OSRRefP22_24x_0)</f>
        <v>30246.51</v>
      </c>
      <c r="Q147" s="1"/>
      <c r="R147" s="5">
        <f t="shared" ref="R147:R148" si="122">IF(P$12=0,0,P147/P$12)</f>
        <v>6.5358570973959758E-3</v>
      </c>
      <c r="S147" s="1"/>
      <c r="T147" s="1">
        <f>SUM(OSRRefT22_24x_0)</f>
        <v>36720</v>
      </c>
      <c r="U147" s="1"/>
      <c r="V147" s="5">
        <f t="shared" ref="V147:V148" si="123">IF(T$12=0,0,T147/T$12)</f>
        <v>5.9792738048210009E-3</v>
      </c>
      <c r="W147" s="1"/>
      <c r="X147" s="1">
        <f t="shared" ref="X147:X148" si="124">+P147-T147</f>
        <v>-6473.4900000000016</v>
      </c>
      <c r="Y147" s="1"/>
      <c r="Z147" s="5">
        <f t="shared" ref="Z147:Z148" si="125">IF(T147=0,0,X147/T147)</f>
        <v>-0.1762933006535948</v>
      </c>
    </row>
    <row r="148" spans="1:26" s="24" customFormat="1" hidden="1" outlineLevel="2" x14ac:dyDescent="0.3">
      <c r="A148" s="29"/>
      <c r="B148" s="11" t="str">
        <f>CONCATENATE("          ", "6274", " - ", "UTILITIES")</f>
        <v xml:space="preserve">          6274 - UTILITIES</v>
      </c>
      <c r="C148" s="11"/>
      <c r="D148" s="6">
        <v>62.92</v>
      </c>
      <c r="E148" s="2"/>
      <c r="F148" s="7">
        <f t="shared" si="118"/>
        <v>9.9593967802941716E-5</v>
      </c>
      <c r="G148" s="2"/>
      <c r="H148" s="6">
        <v>6120</v>
      </c>
      <c r="I148" s="2"/>
      <c r="J148" s="7">
        <f t="shared" si="119"/>
        <v>1.2814553312310765E-2</v>
      </c>
      <c r="K148" s="2"/>
      <c r="L148" s="6">
        <f t="shared" si="120"/>
        <v>-6057.08</v>
      </c>
      <c r="M148" s="2"/>
      <c r="N148" s="7">
        <f t="shared" si="121"/>
        <v>-0.98971895424836598</v>
      </c>
      <c r="O148" s="11"/>
      <c r="P148" s="6">
        <v>30246.51</v>
      </c>
      <c r="Q148" s="2"/>
      <c r="R148" s="7">
        <f t="shared" si="122"/>
        <v>6.5358570973959758E-3</v>
      </c>
      <c r="S148" s="2"/>
      <c r="T148" s="6">
        <v>36720</v>
      </c>
      <c r="U148" s="2"/>
      <c r="V148" s="7">
        <f t="shared" si="123"/>
        <v>5.9792738048210009E-3</v>
      </c>
      <c r="W148" s="2"/>
      <c r="X148" s="6">
        <f t="shared" si="124"/>
        <v>-6473.4900000000016</v>
      </c>
      <c r="Y148" s="2"/>
      <c r="Z148" s="7">
        <f t="shared" si="125"/>
        <v>-0.1762933006535948</v>
      </c>
    </row>
    <row r="149" spans="1:26" s="55" customFormat="1" x14ac:dyDescent="0.3">
      <c r="A149" s="36"/>
      <c r="B149" s="36"/>
      <c r="C149" s="36"/>
      <c r="D149" s="1"/>
      <c r="E149" s="1"/>
      <c r="F149" s="5"/>
      <c r="G149" s="1"/>
      <c r="H149" s="1"/>
      <c r="I149" s="1"/>
      <c r="J149" s="5"/>
      <c r="K149" s="1"/>
      <c r="L149" s="1"/>
      <c r="M149" s="1"/>
      <c r="N149" s="5"/>
      <c r="O149" s="36"/>
      <c r="P149" s="1"/>
      <c r="Q149" s="1"/>
      <c r="R149" s="5"/>
      <c r="S149" s="1"/>
      <c r="T149" s="1"/>
      <c r="U149" s="1"/>
      <c r="V149" s="5"/>
      <c r="W149" s="1"/>
      <c r="X149" s="1"/>
      <c r="Y149" s="1"/>
      <c r="Z149" s="5"/>
    </row>
    <row r="150" spans="1:26" s="23" customFormat="1" collapsed="1" x14ac:dyDescent="0.3">
      <c r="A150" s="10"/>
      <c r="B150" s="25" t="s">
        <v>293</v>
      </c>
      <c r="C150" s="10"/>
      <c r="D150" s="4">
        <f>SUM(OSRRefD25x_0)</f>
        <v>14550.550000000001</v>
      </c>
      <c r="E150" s="4"/>
      <c r="F150" s="12">
        <f t="shared" ref="F150:F157" si="126">IF(D$12=0,0,D150/D$12)</f>
        <v>2.3031579914416619E-2</v>
      </c>
      <c r="G150" s="4"/>
      <c r="H150" s="4">
        <f>SUM(OSRRefH25x_0)</f>
        <v>66320</v>
      </c>
      <c r="I150" s="4"/>
      <c r="J150" s="12">
        <f t="shared" ref="J150:J157" si="127">IF(H$12=0,0,H150/H$12)</f>
        <v>0.13886620517523693</v>
      </c>
      <c r="K150" s="4"/>
      <c r="L150" s="4">
        <f t="shared" ref="L150:L157" si="128">+D150-H150</f>
        <v>-51769.45</v>
      </c>
      <c r="M150" s="4"/>
      <c r="N150" s="12">
        <f t="shared" ref="N150:N157" si="129">IF(H150=0,0,L150/H150)</f>
        <v>-0.78060087454764771</v>
      </c>
      <c r="O150" s="10"/>
      <c r="P150" s="4">
        <f>SUM(OSRRefP25x_0)</f>
        <v>472506.75</v>
      </c>
      <c r="Q150" s="4"/>
      <c r="R150" s="12">
        <f t="shared" ref="R150:R157" si="130">IF(P$12=0,0,P150/P$12)</f>
        <v>0.10210224569892547</v>
      </c>
      <c r="S150" s="4"/>
      <c r="T150" s="4">
        <f>SUM(OSRRefT25x_0)</f>
        <v>413587.5</v>
      </c>
      <c r="U150" s="4"/>
      <c r="V150" s="12">
        <f t="shared" ref="V150:V157" si="131">IF(T$12=0,0,T150/T$12)</f>
        <v>6.7346212003033923E-2</v>
      </c>
      <c r="W150" s="4"/>
      <c r="X150" s="4">
        <f t="shared" ref="X150:X157" si="132">+P150-T150</f>
        <v>58919.25</v>
      </c>
      <c r="Y150" s="4"/>
      <c r="Z150" s="12">
        <f t="shared" ref="Z150:Z157" si="133">IF(T150=0,0,X150/T150)</f>
        <v>0.14245897180161393</v>
      </c>
    </row>
    <row r="151" spans="1:26" s="24" customFormat="1" hidden="1" outlineLevel="1" x14ac:dyDescent="0.3">
      <c r="A151" s="44"/>
      <c r="B151" s="11" t="str">
        <f>CONCATENATE("          ", "4187", " - ", "NON-TAXABLE SALES-COMPUTER REP")</f>
        <v xml:space="preserve">          4187 - NON-TAXABLE SALES-COMPUTER REP</v>
      </c>
      <c r="C151" s="11"/>
      <c r="D151" s="2">
        <f>0</f>
        <v>0</v>
      </c>
      <c r="E151" s="2"/>
      <c r="F151" s="19">
        <f t="shared" si="126"/>
        <v>0</v>
      </c>
      <c r="G151" s="2"/>
      <c r="H151" s="2"/>
      <c r="I151" s="2"/>
      <c r="J151" s="19">
        <f t="shared" si="127"/>
        <v>0</v>
      </c>
      <c r="K151" s="2"/>
      <c r="L151" s="2">
        <f t="shared" si="128"/>
        <v>0</v>
      </c>
      <c r="M151" s="2"/>
      <c r="N151" s="19">
        <f t="shared" si="129"/>
        <v>0</v>
      </c>
      <c r="O151" s="11"/>
      <c r="P151" s="2">
        <f>0</f>
        <v>0</v>
      </c>
      <c r="Q151" s="2"/>
      <c r="R151" s="19">
        <f t="shared" si="130"/>
        <v>0</v>
      </c>
      <c r="S151" s="2"/>
      <c r="T151" s="2"/>
      <c r="U151" s="2"/>
      <c r="V151" s="19">
        <f t="shared" si="131"/>
        <v>0</v>
      </c>
      <c r="W151" s="2"/>
      <c r="X151" s="2">
        <f t="shared" si="132"/>
        <v>0</v>
      </c>
      <c r="Y151" s="2"/>
      <c r="Z151" s="19">
        <f t="shared" si="133"/>
        <v>0</v>
      </c>
    </row>
    <row r="152" spans="1:26" s="24" customFormat="1" hidden="1" outlineLevel="1" x14ac:dyDescent="0.3">
      <c r="A152" s="44"/>
      <c r="B152" s="11" t="str">
        <f>CONCATENATE("          ", "9087", " - ", "")</f>
        <v xml:space="preserve">          9087 - </v>
      </c>
      <c r="C152" s="11"/>
      <c r="D152" s="2">
        <f>--730.08</f>
        <v>730.08</v>
      </c>
      <c r="E152" s="2"/>
      <c r="F152" s="19">
        <f t="shared" si="126"/>
        <v>1.1556192627713237E-3</v>
      </c>
      <c r="G152" s="2"/>
      <c r="H152" s="2"/>
      <c r="I152" s="2"/>
      <c r="J152" s="19">
        <f t="shared" si="127"/>
        <v>0</v>
      </c>
      <c r="K152" s="2"/>
      <c r="L152" s="2">
        <f t="shared" si="128"/>
        <v>730.08</v>
      </c>
      <c r="M152" s="2"/>
      <c r="N152" s="19">
        <f t="shared" si="129"/>
        <v>0</v>
      </c>
      <c r="O152" s="11"/>
      <c r="P152" s="2">
        <f>--337.7</f>
        <v>337.7</v>
      </c>
      <c r="Q152" s="2"/>
      <c r="R152" s="19">
        <f t="shared" si="130"/>
        <v>7.2972350918853809E-5</v>
      </c>
      <c r="S152" s="2"/>
      <c r="T152" s="2"/>
      <c r="U152" s="2"/>
      <c r="V152" s="19">
        <f t="shared" si="131"/>
        <v>0</v>
      </c>
      <c r="W152" s="2"/>
      <c r="X152" s="2">
        <f t="shared" si="132"/>
        <v>337.7</v>
      </c>
      <c r="Y152" s="2"/>
      <c r="Z152" s="19">
        <f t="shared" si="133"/>
        <v>0</v>
      </c>
    </row>
    <row r="153" spans="1:26" s="24" customFormat="1" hidden="1" outlineLevel="1" x14ac:dyDescent="0.3">
      <c r="A153" s="44"/>
      <c r="B153" s="11" t="str">
        <f>CONCATENATE("          ", "9150", " - ", "MISC. INCOME")</f>
        <v xml:space="preserve">          9150 - MISC. INCOME</v>
      </c>
      <c r="C153" s="11"/>
      <c r="D153" s="2">
        <f>--12888.78</f>
        <v>12888.78</v>
      </c>
      <c r="E153" s="2"/>
      <c r="F153" s="19">
        <f t="shared" si="126"/>
        <v>2.040121964938333E-2</v>
      </c>
      <c r="G153" s="2"/>
      <c r="H153" s="2">
        <v>7987</v>
      </c>
      <c r="I153" s="2"/>
      <c r="J153" s="19">
        <f t="shared" si="127"/>
        <v>1.672382962506962E-2</v>
      </c>
      <c r="K153" s="2"/>
      <c r="L153" s="2">
        <f t="shared" si="128"/>
        <v>4901.7800000000007</v>
      </c>
      <c r="M153" s="2"/>
      <c r="N153" s="19">
        <f t="shared" si="129"/>
        <v>0.61371979466633286</v>
      </c>
      <c r="O153" s="11"/>
      <c r="P153" s="2">
        <f>--227830.39</f>
        <v>227830.39</v>
      </c>
      <c r="Q153" s="2"/>
      <c r="R153" s="19">
        <f t="shared" si="130"/>
        <v>4.9231031001064032E-2</v>
      </c>
      <c r="S153" s="2"/>
      <c r="T153" s="2">
        <v>107274</v>
      </c>
      <c r="U153" s="2"/>
      <c r="V153" s="19">
        <f t="shared" si="131"/>
        <v>1.7467881757580829E-2</v>
      </c>
      <c r="W153" s="2"/>
      <c r="X153" s="2">
        <f t="shared" si="132"/>
        <v>120556.39000000001</v>
      </c>
      <c r="Y153" s="2"/>
      <c r="Z153" s="19">
        <f t="shared" si="133"/>
        <v>1.1238174208102618</v>
      </c>
    </row>
    <row r="154" spans="1:26" s="24" customFormat="1" hidden="1" outlineLevel="1" x14ac:dyDescent="0.3">
      <c r="A154" s="44"/>
      <c r="B154" s="11" t="str">
        <f>CONCATENATE("          ", "9151", " - ", "MISC. INCOME")</f>
        <v xml:space="preserve">          9151 - MISC. INCOME</v>
      </c>
      <c r="C154" s="11"/>
      <c r="D154" s="2">
        <f>0</f>
        <v>0</v>
      </c>
      <c r="E154" s="2"/>
      <c r="F154" s="19">
        <f t="shared" si="126"/>
        <v>0</v>
      </c>
      <c r="G154" s="2"/>
      <c r="H154" s="2"/>
      <c r="I154" s="2"/>
      <c r="J154" s="19">
        <f t="shared" si="127"/>
        <v>0</v>
      </c>
      <c r="K154" s="2"/>
      <c r="L154" s="2">
        <f t="shared" si="128"/>
        <v>0</v>
      </c>
      <c r="M154" s="2"/>
      <c r="N154" s="19">
        <f t="shared" si="129"/>
        <v>0</v>
      </c>
      <c r="O154" s="11"/>
      <c r="P154" s="2">
        <f>--168463.36</f>
        <v>168463.35999999999</v>
      </c>
      <c r="Q154" s="2"/>
      <c r="R154" s="19">
        <f t="shared" si="130"/>
        <v>3.640262784391235E-2</v>
      </c>
      <c r="S154" s="2"/>
      <c r="T154" s="2">
        <v>247980.5</v>
      </c>
      <c r="U154" s="2"/>
      <c r="V154" s="19">
        <f t="shared" si="131"/>
        <v>4.0379719710142002E-2</v>
      </c>
      <c r="W154" s="2"/>
      <c r="X154" s="2">
        <f t="shared" si="132"/>
        <v>-79517.140000000014</v>
      </c>
      <c r="Y154" s="2"/>
      <c r="Z154" s="19">
        <f t="shared" si="133"/>
        <v>-0.32065884212669954</v>
      </c>
    </row>
    <row r="155" spans="1:26" s="24" customFormat="1" hidden="1" outlineLevel="1" x14ac:dyDescent="0.3">
      <c r="A155" s="44"/>
      <c r="B155" s="11" t="str">
        <f>CONCATENATE("          ", "9152", " - ", "MISC. INCOME")</f>
        <v xml:space="preserve">          9152 - MISC. INCOME</v>
      </c>
      <c r="C155" s="11"/>
      <c r="D155" s="2">
        <f>--931.69</f>
        <v>931.69</v>
      </c>
      <c r="E155" s="2"/>
      <c r="F155" s="19">
        <f t="shared" si="126"/>
        <v>1.474741002261964E-3</v>
      </c>
      <c r="G155" s="2"/>
      <c r="H155" s="2"/>
      <c r="I155" s="2"/>
      <c r="J155" s="19">
        <f t="shared" si="127"/>
        <v>0</v>
      </c>
      <c r="K155" s="2"/>
      <c r="L155" s="2">
        <f t="shared" si="128"/>
        <v>931.69</v>
      </c>
      <c r="M155" s="2"/>
      <c r="N155" s="19">
        <f t="shared" si="129"/>
        <v>0</v>
      </c>
      <c r="O155" s="11"/>
      <c r="P155" s="2">
        <f>--3127.1</f>
        <v>3127.1</v>
      </c>
      <c r="Q155" s="2"/>
      <c r="R155" s="19">
        <f t="shared" si="130"/>
        <v>6.7572353733594238E-4</v>
      </c>
      <c r="S155" s="2"/>
      <c r="T155" s="2"/>
      <c r="U155" s="2"/>
      <c r="V155" s="19">
        <f t="shared" si="131"/>
        <v>0</v>
      </c>
      <c r="W155" s="2"/>
      <c r="X155" s="2">
        <f t="shared" si="132"/>
        <v>3127.1</v>
      </c>
      <c r="Y155" s="2"/>
      <c r="Z155" s="19">
        <f t="shared" si="133"/>
        <v>0</v>
      </c>
    </row>
    <row r="156" spans="1:26" s="24" customFormat="1" hidden="1" outlineLevel="1" x14ac:dyDescent="0.3">
      <c r="A156" s="44"/>
      <c r="B156" s="11" t="str">
        <f>CONCATENATE("          ", "9160", " - ", "MISC. INCOME")</f>
        <v xml:space="preserve">          9160 - MISC. INCOME</v>
      </c>
      <c r="C156" s="11"/>
      <c r="D156" s="2">
        <f t="shared" ref="D156:D157" si="134">0</f>
        <v>0</v>
      </c>
      <c r="E156" s="2"/>
      <c r="F156" s="19">
        <f t="shared" si="126"/>
        <v>0</v>
      </c>
      <c r="G156" s="2"/>
      <c r="H156" s="2">
        <v>58333</v>
      </c>
      <c r="I156" s="2"/>
      <c r="J156" s="19">
        <f t="shared" si="127"/>
        <v>0.1221423755501673</v>
      </c>
      <c r="K156" s="2"/>
      <c r="L156" s="2">
        <f t="shared" si="128"/>
        <v>-58333</v>
      </c>
      <c r="M156" s="2"/>
      <c r="N156" s="19">
        <f t="shared" si="129"/>
        <v>-1</v>
      </c>
      <c r="O156" s="11"/>
      <c r="P156" s="2">
        <f>0</f>
        <v>0</v>
      </c>
      <c r="Q156" s="2"/>
      <c r="R156" s="19">
        <f t="shared" si="130"/>
        <v>0</v>
      </c>
      <c r="S156" s="2"/>
      <c r="T156" s="2">
        <v>58333</v>
      </c>
      <c r="U156" s="2"/>
      <c r="V156" s="19">
        <f t="shared" si="131"/>
        <v>9.4986105353110969E-3</v>
      </c>
      <c r="W156" s="2"/>
      <c r="X156" s="2">
        <f t="shared" si="132"/>
        <v>-58333</v>
      </c>
      <c r="Y156" s="2"/>
      <c r="Z156" s="19">
        <f t="shared" si="133"/>
        <v>-1</v>
      </c>
    </row>
    <row r="157" spans="1:26" s="24" customFormat="1" hidden="1" outlineLevel="1" x14ac:dyDescent="0.3">
      <c r="A157" s="44"/>
      <c r="B157" s="11" t="str">
        <f>CONCATENATE("          ", "9163", " - ", "MISC. INCOME")</f>
        <v xml:space="preserve">          9163 - MISC. INCOME</v>
      </c>
      <c r="C157" s="11"/>
      <c r="D157" s="2">
        <f t="shared" si="134"/>
        <v>0</v>
      </c>
      <c r="E157" s="2"/>
      <c r="F157" s="19">
        <f t="shared" si="126"/>
        <v>0</v>
      </c>
      <c r="G157" s="2"/>
      <c r="H157" s="2"/>
      <c r="I157" s="2"/>
      <c r="J157" s="19">
        <f t="shared" si="127"/>
        <v>0</v>
      </c>
      <c r="K157" s="2"/>
      <c r="L157" s="2">
        <f t="shared" si="128"/>
        <v>0</v>
      </c>
      <c r="M157" s="2"/>
      <c r="N157" s="19">
        <f t="shared" si="129"/>
        <v>0</v>
      </c>
      <c r="O157" s="11"/>
      <c r="P157" s="2">
        <f>--72748.2</f>
        <v>72748.2</v>
      </c>
      <c r="Q157" s="2"/>
      <c r="R157" s="19">
        <f t="shared" si="130"/>
        <v>1.5719890965694285E-2</v>
      </c>
      <c r="S157" s="2"/>
      <c r="T157" s="2"/>
      <c r="U157" s="2"/>
      <c r="V157" s="19">
        <f t="shared" si="131"/>
        <v>0</v>
      </c>
      <c r="W157" s="2"/>
      <c r="X157" s="2">
        <f t="shared" si="132"/>
        <v>72748.2</v>
      </c>
      <c r="Y157" s="2"/>
      <c r="Z157" s="19">
        <f t="shared" si="133"/>
        <v>0</v>
      </c>
    </row>
    <row r="158" spans="1:26" x14ac:dyDescent="0.3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3">
      <c r="A159" s="10"/>
      <c r="B159" s="26" t="s">
        <v>277</v>
      </c>
      <c r="C159" s="26"/>
      <c r="D159" s="20">
        <f>+D56-D58+D150</f>
        <v>-20578.609999999913</v>
      </c>
      <c r="E159" s="13"/>
      <c r="F159" s="22">
        <f>IF(D$12=0,0,D159/D$12)</f>
        <v>-3.2573194878723545E-2</v>
      </c>
      <c r="G159" s="13"/>
      <c r="H159" s="20">
        <f>+H56-H58+H150</f>
        <v>-34782.095279475092</v>
      </c>
      <c r="I159" s="13"/>
      <c r="J159" s="22">
        <f>IF(H$12=0,0,H159/H$12)</f>
        <v>-7.2829577495540226E-2</v>
      </c>
      <c r="K159" s="16"/>
      <c r="L159" s="20">
        <f>+D159-H159</f>
        <v>14203.485279475179</v>
      </c>
      <c r="M159" s="16"/>
      <c r="N159" s="22">
        <f>IF(H159=0,0,L159/H159)</f>
        <v>-0.40835622941486943</v>
      </c>
      <c r="O159" s="25"/>
      <c r="P159" s="20">
        <f>+P56-P58+P150</f>
        <v>113787.46000000066</v>
      </c>
      <c r="Q159" s="13"/>
      <c r="R159" s="22">
        <f>IF(P$12=0,0,P159/P$12)</f>
        <v>2.4587913714199258E-2</v>
      </c>
      <c r="S159" s="13"/>
      <c r="T159" s="20">
        <f>+T56-T58+T150</f>
        <v>278632.10646821884</v>
      </c>
      <c r="U159" s="13"/>
      <c r="V159" s="22">
        <f>IF(T$12=0,0,T159/T$12)</f>
        <v>4.5370851181577264E-2</v>
      </c>
      <c r="W159" s="16"/>
      <c r="X159" s="20">
        <f>+P159-T159</f>
        <v>-164844.64646821818</v>
      </c>
      <c r="Y159" s="16"/>
      <c r="Z159" s="22">
        <f>IF(T159=0,0,X159/T159)</f>
        <v>-0.59162114717393699</v>
      </c>
    </row>
    <row r="160" spans="1:26" x14ac:dyDescent="0.3">
      <c r="A160" s="9"/>
      <c r="B160" s="10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x14ac:dyDescent="0.3">
      <c r="A161" s="52"/>
      <c r="B161" s="10" t="s">
        <v>128</v>
      </c>
      <c r="C161" s="10"/>
      <c r="D161" s="4">
        <v>81077.320000000007</v>
      </c>
      <c r="E161" s="4"/>
      <c r="F161" s="12">
        <f>IF(D$12=0,0,D161/D$12)</f>
        <v>0.12833458356053407</v>
      </c>
      <c r="G161" s="4"/>
      <c r="H161" s="4">
        <v>87085</v>
      </c>
      <c r="I161" s="4"/>
      <c r="J161" s="12">
        <f>IF(H$12=0,0,H161/H$12)</f>
        <v>0.18234564954290572</v>
      </c>
      <c r="K161" s="4"/>
      <c r="L161" s="4">
        <f>+D161-H161</f>
        <v>-6007.679999999993</v>
      </c>
      <c r="M161" s="4"/>
      <c r="N161" s="12">
        <f>IF(H161=0,0,L161/H161)</f>
        <v>-6.8986392604926144E-2</v>
      </c>
      <c r="O161" s="10"/>
      <c r="P161" s="4">
        <v>557049.61</v>
      </c>
      <c r="Q161" s="4"/>
      <c r="R161" s="12">
        <f>IF(P$12=0,0,P161/P$12)</f>
        <v>0.12037080136254266</v>
      </c>
      <c r="S161" s="4"/>
      <c r="T161" s="4">
        <v>795112</v>
      </c>
      <c r="U161" s="4"/>
      <c r="V161" s="12">
        <f>IF(T$12=0,0,T161/T$12)</f>
        <v>0.12947146932186374</v>
      </c>
      <c r="W161" s="4"/>
      <c r="X161" s="4">
        <f>+P161-T161</f>
        <v>-238062.39</v>
      </c>
      <c r="Y161" s="4"/>
      <c r="Z161" s="12">
        <f>IF(T161=0,0,X161/T161)</f>
        <v>-0.29940736650937227</v>
      </c>
    </row>
    <row r="162" spans="1:26" x14ac:dyDescent="0.3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ht="15" thickBot="1" x14ac:dyDescent="0.35">
      <c r="A163" s="10"/>
      <c r="B163" s="26" t="s">
        <v>126</v>
      </c>
      <c r="C163" s="26"/>
      <c r="D163" s="31">
        <f>+D159-D161</f>
        <v>-101655.92999999992</v>
      </c>
      <c r="E163" s="13"/>
      <c r="F163" s="30">
        <f>IF(D$12=0,0,D163/D$12)</f>
        <v>-0.1609077784392576</v>
      </c>
      <c r="G163" s="13"/>
      <c r="H163" s="31">
        <f>+H159-H161</f>
        <v>-121867.09527947509</v>
      </c>
      <c r="I163" s="13"/>
      <c r="J163" s="30">
        <f>IF(H$12=0,0,H163/H$12)</f>
        <v>-0.25517522703844597</v>
      </c>
      <c r="K163" s="16"/>
      <c r="L163" s="31">
        <f>D163-H163</f>
        <v>20211.165279475172</v>
      </c>
      <c r="M163" s="16"/>
      <c r="N163" s="30">
        <f>IF(H163=0,0,L163/H163)</f>
        <v>-0.16584595893686771</v>
      </c>
      <c r="O163" s="25"/>
      <c r="P163" s="31">
        <f>+P159-P161</f>
        <v>-443262.14999999932</v>
      </c>
      <c r="Q163" s="13"/>
      <c r="R163" s="30">
        <f>IF(P$12=0,0,P163/P$12)</f>
        <v>-9.5782887648343404E-2</v>
      </c>
      <c r="S163" s="13"/>
      <c r="T163" s="31">
        <f>+T159-T161</f>
        <v>-516479.89353178116</v>
      </c>
      <c r="U163" s="13"/>
      <c r="V163" s="30">
        <f>IF(T$12=0,0,T163/T$12)</f>
        <v>-8.4100618140286451E-2</v>
      </c>
      <c r="W163" s="16"/>
      <c r="X163" s="31">
        <f>P163-T163</f>
        <v>73217.743531781831</v>
      </c>
      <c r="Y163" s="16"/>
      <c r="Z163" s="30">
        <f>IF(T163=0,0,X163/T163)</f>
        <v>-0.14176300849023551</v>
      </c>
    </row>
    <row r="164" spans="1:26" ht="15" thickTop="1" x14ac:dyDescent="0.3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x14ac:dyDescent="0.3">
      <c r="A165" s="9"/>
      <c r="B165" s="9"/>
      <c r="C165" s="9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ht="15" thickBot="1" x14ac:dyDescent="0.35">
      <c r="A166" s="10"/>
      <c r="B166" s="26" t="s">
        <v>294</v>
      </c>
      <c r="C166" s="26"/>
      <c r="D166" s="35">
        <f>SUM(D163:D165)</f>
        <v>-101655.92999999992</v>
      </c>
      <c r="E166" s="13"/>
      <c r="F166" s="34">
        <f>IF(D$12=0,0,D166/D$12)</f>
        <v>-0.1609077784392576</v>
      </c>
      <c r="G166" s="13"/>
      <c r="H166" s="35">
        <f>SUM(H163:H165)</f>
        <v>-121867.09527947509</v>
      </c>
      <c r="I166" s="13"/>
      <c r="J166" s="34">
        <f>IF(H$12=0,0,H166/H$12)</f>
        <v>-0.25517522703844597</v>
      </c>
      <c r="K166" s="16"/>
      <c r="L166" s="35">
        <f>+D166-H166</f>
        <v>20211.165279475172</v>
      </c>
      <c r="M166" s="16"/>
      <c r="N166" s="34">
        <f>IF(H166=0,0,L166/H166)</f>
        <v>-0.16584595893686771</v>
      </c>
      <c r="O166" s="25"/>
      <c r="P166" s="35">
        <f>SUM(P163:P165)</f>
        <v>-443262.14999999932</v>
      </c>
      <c r="Q166" s="13"/>
      <c r="R166" s="34">
        <f>IF(P$12=0,0,P166/P$12)</f>
        <v>-9.5782887648343404E-2</v>
      </c>
      <c r="S166" s="13"/>
      <c r="T166" s="35">
        <f>SUM(T163:T165)</f>
        <v>-516479.89353178116</v>
      </c>
      <c r="U166" s="13"/>
      <c r="V166" s="34">
        <f>IF(T$12=0,0,T166/T$12)</f>
        <v>-8.4100618140286451E-2</v>
      </c>
      <c r="W166" s="16"/>
      <c r="X166" s="35">
        <f>+P166-T166</f>
        <v>73217.743531781831</v>
      </c>
      <c r="Y166" s="16"/>
      <c r="Z166" s="34">
        <f>IF(T166=0,0,X166/T166)</f>
        <v>-0.14176300849023551</v>
      </c>
    </row>
    <row r="167" spans="1:26" ht="15" thickTop="1" x14ac:dyDescent="0.3">
      <c r="A167" s="9"/>
      <c r="C167" s="9"/>
      <c r="D167" s="18"/>
      <c r="E167" s="18"/>
      <c r="G167" s="18"/>
      <c r="H167" s="18"/>
      <c r="I167" s="18"/>
      <c r="J167" s="43"/>
      <c r="K167" s="18"/>
      <c r="L167" s="18"/>
      <c r="M167" s="18"/>
      <c r="P167" s="18"/>
      <c r="Q167" s="18"/>
      <c r="R167" s="43"/>
      <c r="S167" s="18"/>
      <c r="T167" s="18"/>
      <c r="U167" s="18"/>
      <c r="V167" s="43"/>
      <c r="W167" s="18"/>
      <c r="X167" s="18"/>
    </row>
    <row r="168" spans="1:26" x14ac:dyDescent="0.3">
      <c r="A168" s="9"/>
      <c r="B168" s="61">
        <v>44575.842113888888</v>
      </c>
      <c r="D168" s="18"/>
      <c r="E168" s="18"/>
      <c r="G168" s="18"/>
      <c r="H168" s="18"/>
      <c r="I168" s="18"/>
      <c r="J168" s="43"/>
      <c r="K168" s="18"/>
      <c r="L168" s="18"/>
      <c r="M168" s="18"/>
      <c r="P168" s="18"/>
      <c r="Q168" s="18"/>
      <c r="R168" s="43"/>
      <c r="S168" s="18"/>
      <c r="T168" s="18"/>
      <c r="U168" s="18"/>
      <c r="V168" s="43"/>
      <c r="W168" s="18"/>
      <c r="X168" s="18"/>
    </row>
    <row r="169" spans="1:26" x14ac:dyDescent="0.3">
      <c r="A169" s="9"/>
      <c r="B169" s="62" t="s">
        <v>56</v>
      </c>
      <c r="D169" s="18"/>
      <c r="E169" s="18"/>
      <c r="G169" s="18"/>
      <c r="H169" s="18"/>
      <c r="I169" s="18"/>
      <c r="J169" s="43"/>
      <c r="K169" s="18"/>
      <c r="L169" s="18"/>
      <c r="M169" s="18"/>
      <c r="P169" s="18"/>
      <c r="Q169" s="18"/>
      <c r="R169" s="43"/>
      <c r="S169" s="18"/>
      <c r="T169" s="18"/>
      <c r="U169" s="18"/>
      <c r="V169" s="43"/>
      <c r="W169" s="18"/>
      <c r="X169" s="18"/>
    </row>
    <row r="170" spans="1:26" x14ac:dyDescent="0.3">
      <c r="A170" s="9"/>
      <c r="B170" s="53"/>
      <c r="D170" s="18"/>
      <c r="E170" s="18"/>
      <c r="G170" s="18"/>
      <c r="H170" s="18"/>
      <c r="I170" s="18"/>
      <c r="J170" s="43"/>
      <c r="K170" s="18"/>
      <c r="L170" s="18"/>
      <c r="M170" s="18"/>
      <c r="P170" s="18"/>
      <c r="Q170" s="18"/>
      <c r="R170" s="43"/>
      <c r="S170" s="18"/>
      <c r="T170" s="18"/>
      <c r="U170" s="18"/>
      <c r="V170" s="43"/>
      <c r="W170" s="18"/>
      <c r="X170" s="18"/>
    </row>
    <row r="171" spans="1:26" x14ac:dyDescent="0.3">
      <c r="D171" s="18"/>
      <c r="E171" s="18"/>
      <c r="G171" s="18"/>
      <c r="H171" s="18"/>
      <c r="I171" s="18"/>
      <c r="J171" s="43"/>
      <c r="K171" s="18"/>
      <c r="L171" s="18"/>
      <c r="M171" s="18"/>
      <c r="P171" s="18"/>
      <c r="Q171" s="18"/>
      <c r="R171" s="43"/>
      <c r="S171" s="18"/>
      <c r="T171" s="18"/>
      <c r="U171" s="18"/>
      <c r="V171" s="43"/>
      <c r="W171" s="18"/>
      <c r="X171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","301", " - ", "Bookstore Operations")</f>
        <v>Department 301 - Bookstore Operations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5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"5000", " - ", "PURCHASES @ COST")</f>
        <v xml:space="preserve">          5000 - PURCHASES @ COST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0">
        <f>D12-D14</f>
        <v>0</v>
      </c>
      <c r="E17" s="13"/>
      <c r="F17" s="22">
        <f>IF(D$12=0,0,D17/D$12)</f>
        <v>0</v>
      </c>
      <c r="G17" s="13"/>
      <c r="H17" s="20">
        <f>H12-H14</f>
        <v>0</v>
      </c>
      <c r="I17" s="13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5"/>
      <c r="P17" s="20">
        <f>P12-P14</f>
        <v>0</v>
      </c>
      <c r="Q17" s="13"/>
      <c r="R17" s="22">
        <f>IF(P$12=0,0,P17/P$12)</f>
        <v>0</v>
      </c>
      <c r="S17" s="13"/>
      <c r="T17" s="20">
        <f>T12-T14</f>
        <v>0</v>
      </c>
      <c r="U17" s="13"/>
      <c r="V17" s="22">
        <f>IF(T$12=0,0,T17/T$12)</f>
        <v>0</v>
      </c>
      <c r="W17" s="16"/>
      <c r="X17" s="20">
        <f>+P17-T17</f>
        <v>0</v>
      </c>
      <c r="Y17" s="16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1">
        <f>SUM(OSRRefD22x_0)</f>
        <v>117030.11</v>
      </c>
      <c r="E19" s="21"/>
      <c r="F19" s="32">
        <f t="shared" ref="F19:F30" si="8">IF(D$12=0,0,D19/D$12)</f>
        <v>0</v>
      </c>
      <c r="G19" s="21"/>
      <c r="H19" s="21">
        <f>SUM(OSRRefH22x_0)</f>
        <v>114486.25099830769</v>
      </c>
      <c r="I19" s="21"/>
      <c r="J19" s="32">
        <f t="shared" ref="J19:J30" si="9">IF(H$12=0,0,H19/H$12)</f>
        <v>0</v>
      </c>
      <c r="K19" s="4"/>
      <c r="L19" s="21">
        <f t="shared" ref="L19:L30" si="10">+D19-H19</f>
        <v>2543.8590016923117</v>
      </c>
      <c r="M19" s="4"/>
      <c r="N19" s="32">
        <f t="shared" ref="N19:N30" si="11">IF(H19=0,0,L19/H19)</f>
        <v>2.221977730522344E-2</v>
      </c>
      <c r="O19" s="10"/>
      <c r="P19" s="21">
        <f>SUM(OSRRefP22x_0)</f>
        <v>862369.05999999971</v>
      </c>
      <c r="Q19" s="21"/>
      <c r="R19" s="32">
        <f t="shared" ref="R19:R30" si="12">IF(P$12=0,0,P19/P$12)</f>
        <v>0</v>
      </c>
      <c r="S19" s="21"/>
      <c r="T19" s="21">
        <f>SUM(OSRRefT22x_0)</f>
        <v>803412.17245399999</v>
      </c>
      <c r="U19" s="21"/>
      <c r="V19" s="32">
        <f t="shared" ref="V19:V30" si="13">IF(T$12=0,0,T19/T$12)</f>
        <v>0</v>
      </c>
      <c r="W19" s="4"/>
      <c r="X19" s="21">
        <f t="shared" ref="X19:X30" si="14">+P19-T19</f>
        <v>58956.887545999722</v>
      </c>
      <c r="Y19" s="4"/>
      <c r="Z19" s="32">
        <f t="shared" ref="Z19:Z30" si="15">IF(T19=0,0,X19/T19)</f>
        <v>7.3383114629589893E-2</v>
      </c>
    </row>
    <row r="20" spans="1:26" s="28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13685.689999999999</v>
      </c>
      <c r="E20" s="1"/>
      <c r="F20" s="5">
        <f t="shared" si="8"/>
        <v>0</v>
      </c>
      <c r="G20" s="1"/>
      <c r="H20" s="1">
        <f>SUM(OSRRefH22_0x_0)</f>
        <v>4906.8563060000024</v>
      </c>
      <c r="I20" s="1"/>
      <c r="J20" s="5">
        <f t="shared" si="9"/>
        <v>0</v>
      </c>
      <c r="K20" s="1"/>
      <c r="L20" s="1">
        <f t="shared" si="10"/>
        <v>8778.8336939999972</v>
      </c>
      <c r="M20" s="1"/>
      <c r="N20" s="5">
        <f t="shared" si="11"/>
        <v>1.7890953283603233</v>
      </c>
      <c r="O20" s="14"/>
      <c r="P20" s="1">
        <f>SUM(OSRRefP22_0x_0)</f>
        <v>85456.290000000008</v>
      </c>
      <c r="Q20" s="1"/>
      <c r="R20" s="5">
        <f t="shared" si="12"/>
        <v>0</v>
      </c>
      <c r="S20" s="1"/>
      <c r="T20" s="1">
        <f>SUM(OSRRefT22_0x_0)</f>
        <v>36274.609454000019</v>
      </c>
      <c r="U20" s="1"/>
      <c r="V20" s="5">
        <f t="shared" si="13"/>
        <v>0</v>
      </c>
      <c r="W20" s="1"/>
      <c r="X20" s="1">
        <f t="shared" si="14"/>
        <v>49181.680545999989</v>
      </c>
      <c r="Y20" s="1"/>
      <c r="Z20" s="5">
        <f t="shared" si="15"/>
        <v>1.3558155769634812</v>
      </c>
    </row>
    <row r="21" spans="1:26" s="24" customFormat="1" hidden="1" outlineLevel="2" x14ac:dyDescent="0.3">
      <c r="A21" s="29"/>
      <c r="B21" s="11" t="str">
        <f>CONCATENATE("          ", "6111", " - ", "F.I.C.A.")</f>
        <v xml:space="preserve">          6111 - F.I.C.A.</v>
      </c>
      <c r="C21" s="11"/>
      <c r="D21" s="6">
        <v>2010.69</v>
      </c>
      <c r="E21" s="2"/>
      <c r="F21" s="7">
        <f t="shared" si="8"/>
        <v>0</v>
      </c>
      <c r="G21" s="2"/>
      <c r="H21" s="6">
        <v>976.89720830769204</v>
      </c>
      <c r="I21" s="2"/>
      <c r="J21" s="7">
        <f t="shared" si="9"/>
        <v>0</v>
      </c>
      <c r="K21" s="2"/>
      <c r="L21" s="6">
        <f t="shared" si="10"/>
        <v>1033.7927916923081</v>
      </c>
      <c r="M21" s="2"/>
      <c r="N21" s="7">
        <f t="shared" si="11"/>
        <v>1.0582411157497091</v>
      </c>
      <c r="O21" s="11"/>
      <c r="P21" s="6">
        <v>16446.53</v>
      </c>
      <c r="Q21" s="2"/>
      <c r="R21" s="7">
        <f t="shared" si="12"/>
        <v>0</v>
      </c>
      <c r="S21" s="2"/>
      <c r="T21" s="6">
        <v>10912.014744</v>
      </c>
      <c r="U21" s="2"/>
      <c r="V21" s="7">
        <f t="shared" si="13"/>
        <v>0</v>
      </c>
      <c r="W21" s="2"/>
      <c r="X21" s="6">
        <f t="shared" si="14"/>
        <v>5534.5152559999988</v>
      </c>
      <c r="Y21" s="2"/>
      <c r="Z21" s="7">
        <f t="shared" si="15"/>
        <v>0.50719462774215607</v>
      </c>
    </row>
    <row r="22" spans="1:26" s="24" customFormat="1" hidden="1" outlineLevel="2" x14ac:dyDescent="0.3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695.61</v>
      </c>
      <c r="E22" s="2"/>
      <c r="F22" s="7">
        <f t="shared" si="8"/>
        <v>0</v>
      </c>
      <c r="G22" s="2"/>
      <c r="H22" s="6">
        <v>682.19412</v>
      </c>
      <c r="I22" s="2"/>
      <c r="J22" s="7">
        <f t="shared" si="9"/>
        <v>0</v>
      </c>
      <c r="K22" s="2"/>
      <c r="L22" s="6">
        <f t="shared" si="10"/>
        <v>13.415880000000016</v>
      </c>
      <c r="M22" s="2"/>
      <c r="N22" s="7">
        <f t="shared" si="11"/>
        <v>1.966578076046744E-2</v>
      </c>
      <c r="O22" s="11"/>
      <c r="P22" s="6">
        <v>4583.26</v>
      </c>
      <c r="Q22" s="2"/>
      <c r="R22" s="7">
        <f t="shared" si="12"/>
        <v>0</v>
      </c>
      <c r="S22" s="2"/>
      <c r="T22" s="6">
        <v>4487.6878800000004</v>
      </c>
      <c r="U22" s="2"/>
      <c r="V22" s="7">
        <f t="shared" si="13"/>
        <v>0</v>
      </c>
      <c r="W22" s="2"/>
      <c r="X22" s="6">
        <f t="shared" si="14"/>
        <v>95.572119999999813</v>
      </c>
      <c r="Y22" s="2"/>
      <c r="Z22" s="7">
        <f t="shared" si="15"/>
        <v>2.1296516726559828E-2</v>
      </c>
    </row>
    <row r="23" spans="1:26" s="24" customFormat="1" hidden="1" outlineLevel="2" x14ac:dyDescent="0.3">
      <c r="A23" s="29"/>
      <c r="B23" s="11" t="str">
        <f>CONCATENATE("          ", "6113", " - ", "GROUP INSURANCE")</f>
        <v xml:space="preserve">          6113 - GROUP INSURANCE</v>
      </c>
      <c r="C23" s="11"/>
      <c r="D23" s="6">
        <v>5752.3</v>
      </c>
      <c r="E23" s="2"/>
      <c r="F23" s="7">
        <f t="shared" si="8"/>
        <v>0</v>
      </c>
      <c r="G23" s="2"/>
      <c r="H23" s="6">
        <v>1303</v>
      </c>
      <c r="I23" s="2"/>
      <c r="J23" s="7">
        <f t="shared" si="9"/>
        <v>0</v>
      </c>
      <c r="K23" s="2"/>
      <c r="L23" s="6">
        <f t="shared" si="10"/>
        <v>4449.3</v>
      </c>
      <c r="M23" s="2"/>
      <c r="N23" s="7">
        <f t="shared" si="11"/>
        <v>3.4146584804297775</v>
      </c>
      <c r="O23" s="11"/>
      <c r="P23" s="6">
        <v>32401.08</v>
      </c>
      <c r="Q23" s="2"/>
      <c r="R23" s="7">
        <f t="shared" si="12"/>
        <v>0</v>
      </c>
      <c r="S23" s="2"/>
      <c r="T23" s="6">
        <v>8124</v>
      </c>
      <c r="U23" s="2"/>
      <c r="V23" s="7">
        <f t="shared" si="13"/>
        <v>0</v>
      </c>
      <c r="W23" s="2"/>
      <c r="X23" s="6">
        <f t="shared" si="14"/>
        <v>24277.08</v>
      </c>
      <c r="Y23" s="2"/>
      <c r="Z23" s="7">
        <f t="shared" si="15"/>
        <v>2.9883161004431318</v>
      </c>
    </row>
    <row r="24" spans="1:26" s="24" customFormat="1" hidden="1" outlineLevel="2" x14ac:dyDescent="0.3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123.73</v>
      </c>
      <c r="E24" s="2"/>
      <c r="F24" s="7">
        <f t="shared" si="8"/>
        <v>0</v>
      </c>
      <c r="G24" s="2"/>
      <c r="H24" s="6">
        <v>91.833823846153805</v>
      </c>
      <c r="I24" s="2"/>
      <c r="J24" s="7">
        <f t="shared" si="9"/>
        <v>0</v>
      </c>
      <c r="K24" s="2"/>
      <c r="L24" s="6">
        <f t="shared" si="10"/>
        <v>31.896176153846199</v>
      </c>
      <c r="M24" s="2"/>
      <c r="N24" s="7">
        <f t="shared" si="11"/>
        <v>0.34732492689491856</v>
      </c>
      <c r="O24" s="11"/>
      <c r="P24" s="6">
        <v>818.57</v>
      </c>
      <c r="Q24" s="2"/>
      <c r="R24" s="7">
        <f t="shared" si="12"/>
        <v>0</v>
      </c>
      <c r="S24" s="2"/>
      <c r="T24" s="6">
        <v>604.11183000000005</v>
      </c>
      <c r="U24" s="2"/>
      <c r="V24" s="7">
        <f t="shared" si="13"/>
        <v>0</v>
      </c>
      <c r="W24" s="2"/>
      <c r="X24" s="6">
        <f t="shared" si="14"/>
        <v>214.45817</v>
      </c>
      <c r="Y24" s="2"/>
      <c r="Z24" s="7">
        <f t="shared" si="15"/>
        <v>0.35499746793569659</v>
      </c>
    </row>
    <row r="25" spans="1:26" s="24" customFormat="1" hidden="1" outlineLevel="2" x14ac:dyDescent="0.3">
      <c r="A25" s="29"/>
      <c r="B25" s="11" t="str">
        <f>CONCATENATE("          ", "6115", " - ", "P.E.R.S.")</f>
        <v xml:space="preserve">          6115 - P.E.R.S.</v>
      </c>
      <c r="C25" s="11"/>
      <c r="D25" s="6">
        <v>1579.6</v>
      </c>
      <c r="E25" s="2"/>
      <c r="F25" s="7">
        <f t="shared" si="8"/>
        <v>0</v>
      </c>
      <c r="G25" s="2"/>
      <c r="H25" s="6">
        <v>374.76153846153801</v>
      </c>
      <c r="I25" s="2"/>
      <c r="J25" s="7">
        <f t="shared" si="9"/>
        <v>0</v>
      </c>
      <c r="K25" s="2"/>
      <c r="L25" s="6">
        <f t="shared" si="10"/>
        <v>1204.8384615384618</v>
      </c>
      <c r="M25" s="2"/>
      <c r="N25" s="7">
        <f t="shared" si="11"/>
        <v>3.2149469406186544</v>
      </c>
      <c r="O25" s="11"/>
      <c r="P25" s="6">
        <v>9994.06</v>
      </c>
      <c r="Q25" s="2"/>
      <c r="R25" s="7">
        <f t="shared" si="12"/>
        <v>0</v>
      </c>
      <c r="S25" s="2"/>
      <c r="T25" s="6">
        <v>2435.9499999999998</v>
      </c>
      <c r="U25" s="2"/>
      <c r="V25" s="7">
        <f t="shared" si="13"/>
        <v>0</v>
      </c>
      <c r="W25" s="2"/>
      <c r="X25" s="6">
        <f t="shared" si="14"/>
        <v>7558.11</v>
      </c>
      <c r="Y25" s="2"/>
      <c r="Z25" s="7">
        <f t="shared" si="15"/>
        <v>3.1027360988526036</v>
      </c>
    </row>
    <row r="26" spans="1:26" s="24" customFormat="1" hidden="1" outlineLevel="2" x14ac:dyDescent="0.3">
      <c r="A26" s="29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3">
      <c r="A27" s="29"/>
      <c r="B27" s="11" t="str">
        <f>CONCATENATE("          ", "6117", " - ", "RETIREMENT STAFF HOURLY")</f>
        <v xml:space="preserve">          6117 - RETIREMENT STAFF HOURLY</v>
      </c>
      <c r="C27" s="11"/>
      <c r="D27" s="6">
        <v>305.18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305.18</v>
      </c>
      <c r="M27" s="2"/>
      <c r="N27" s="7">
        <f t="shared" si="11"/>
        <v>0</v>
      </c>
      <c r="O27" s="11"/>
      <c r="P27" s="6">
        <v>1886.46</v>
      </c>
      <c r="Q27" s="2"/>
      <c r="R27" s="7">
        <f t="shared" si="12"/>
        <v>0</v>
      </c>
      <c r="S27" s="2"/>
      <c r="T27" s="6"/>
      <c r="U27" s="2"/>
      <c r="V27" s="7">
        <f t="shared" si="13"/>
        <v>0</v>
      </c>
      <c r="W27" s="2"/>
      <c r="X27" s="6">
        <f t="shared" si="14"/>
        <v>1886.46</v>
      </c>
      <c r="Y27" s="2"/>
      <c r="Z27" s="7">
        <f t="shared" si="15"/>
        <v>0</v>
      </c>
    </row>
    <row r="28" spans="1:26" s="24" customFormat="1" hidden="1" outlineLevel="2" x14ac:dyDescent="0.3">
      <c r="A28" s="29"/>
      <c r="B28" s="11" t="str">
        <f>CONCATENATE("          ", "6118", " - ", "VACATION")</f>
        <v xml:space="preserve">          6118 - VACATION</v>
      </c>
      <c r="C28" s="11"/>
      <c r="D28" s="6">
        <v>1450.87</v>
      </c>
      <c r="E28" s="2"/>
      <c r="F28" s="7">
        <f t="shared" si="8"/>
        <v>0</v>
      </c>
      <c r="G28" s="2"/>
      <c r="H28" s="6">
        <v>249.386769230769</v>
      </c>
      <c r="I28" s="2"/>
      <c r="J28" s="7">
        <f t="shared" si="9"/>
        <v>0</v>
      </c>
      <c r="K28" s="2"/>
      <c r="L28" s="6">
        <f t="shared" si="10"/>
        <v>1201.4832307692309</v>
      </c>
      <c r="M28" s="2"/>
      <c r="N28" s="7">
        <f t="shared" si="11"/>
        <v>4.8177504944436063</v>
      </c>
      <c r="O28" s="11"/>
      <c r="P28" s="6">
        <v>8686.59</v>
      </c>
      <c r="Q28" s="2"/>
      <c r="R28" s="7">
        <f t="shared" si="12"/>
        <v>0</v>
      </c>
      <c r="S28" s="2"/>
      <c r="T28" s="6">
        <v>1621.0139999999999</v>
      </c>
      <c r="U28" s="2"/>
      <c r="V28" s="7">
        <f t="shared" si="13"/>
        <v>0</v>
      </c>
      <c r="W28" s="2"/>
      <c r="X28" s="6">
        <f t="shared" si="14"/>
        <v>7065.576</v>
      </c>
      <c r="Y28" s="2"/>
      <c r="Z28" s="7">
        <f t="shared" si="15"/>
        <v>4.3587384192857064</v>
      </c>
    </row>
    <row r="29" spans="1:26" s="24" customFormat="1" hidden="1" outlineLevel="2" x14ac:dyDescent="0.3">
      <c r="A29" s="29"/>
      <c r="B29" s="11" t="str">
        <f>CONCATENATE("          ", "6119", " - ", "SICK LEAVE")</f>
        <v xml:space="preserve">          6119 - SICK LEAVE</v>
      </c>
      <c r="C29" s="11"/>
      <c r="D29" s="6">
        <v>1115.22</v>
      </c>
      <c r="E29" s="2"/>
      <c r="F29" s="7">
        <f t="shared" si="8"/>
        <v>0</v>
      </c>
      <c r="G29" s="2"/>
      <c r="H29" s="6">
        <v>1228.78284615385</v>
      </c>
      <c r="I29" s="2"/>
      <c r="J29" s="7">
        <f t="shared" si="9"/>
        <v>0</v>
      </c>
      <c r="K29" s="2"/>
      <c r="L29" s="6">
        <f t="shared" si="10"/>
        <v>-113.56284615384993</v>
      </c>
      <c r="M29" s="2"/>
      <c r="N29" s="7">
        <f t="shared" si="11"/>
        <v>-9.2418970942918968E-2</v>
      </c>
      <c r="O29" s="11"/>
      <c r="P29" s="6">
        <v>6899.66</v>
      </c>
      <c r="Q29" s="2"/>
      <c r="R29" s="7">
        <f t="shared" si="12"/>
        <v>0</v>
      </c>
      <c r="S29" s="2"/>
      <c r="T29" s="6">
        <v>8089.8310000000201</v>
      </c>
      <c r="U29" s="2"/>
      <c r="V29" s="7">
        <f t="shared" si="13"/>
        <v>0</v>
      </c>
      <c r="W29" s="2"/>
      <c r="X29" s="6">
        <f t="shared" si="14"/>
        <v>-1190.1710000000203</v>
      </c>
      <c r="Y29" s="2"/>
      <c r="Z29" s="7">
        <f t="shared" si="15"/>
        <v>-0.1471193897622852</v>
      </c>
    </row>
    <row r="30" spans="1:26" s="24" customFormat="1" hidden="1" outlineLevel="2" x14ac:dyDescent="0.3">
      <c r="A30" s="29"/>
      <c r="B30" s="11" t="str">
        <f>CONCATENATE("          ", "6156", " - ", "EMPLOYEE MEALS")</f>
        <v xml:space="preserve">          6156 - EMPLOYEE MEALS</v>
      </c>
      <c r="C30" s="11"/>
      <c r="D30" s="6">
        <v>652.49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652.49</v>
      </c>
      <c r="M30" s="2"/>
      <c r="N30" s="7">
        <f t="shared" si="11"/>
        <v>0</v>
      </c>
      <c r="O30" s="11"/>
      <c r="P30" s="6">
        <v>3740.08</v>
      </c>
      <c r="Q30" s="2"/>
      <c r="R30" s="7">
        <f t="shared" si="12"/>
        <v>0</v>
      </c>
      <c r="S30" s="2"/>
      <c r="T30" s="6"/>
      <c r="U30" s="2"/>
      <c r="V30" s="7">
        <f t="shared" si="13"/>
        <v>0</v>
      </c>
      <c r="W30" s="2"/>
      <c r="X30" s="6">
        <f t="shared" si="14"/>
        <v>3740.08</v>
      </c>
      <c r="Y30" s="2"/>
      <c r="Z30" s="7">
        <f t="shared" si="15"/>
        <v>0</v>
      </c>
    </row>
    <row r="31" spans="1:26" s="28" customFormat="1" outlineLevel="1" collapsed="1" x14ac:dyDescent="0.3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47876.54</v>
      </c>
      <c r="E31" s="1"/>
      <c r="F31" s="5">
        <f t="shared" ref="F31:F41" si="16">IF(D$12=0,0,D31/D$12)</f>
        <v>0</v>
      </c>
      <c r="G31" s="1"/>
      <c r="H31" s="1">
        <f>SUM(OSRRefH22_1x_0)</f>
        <v>43530.394692307687</v>
      </c>
      <c r="I31" s="1"/>
      <c r="J31" s="5">
        <f t="shared" ref="J31:J41" si="17">IF(H$12=0,0,H31/H$12)</f>
        <v>0</v>
      </c>
      <c r="K31" s="1"/>
      <c r="L31" s="1">
        <f t="shared" ref="L31:L41" si="18">+D31-H31</f>
        <v>4346.1453076923135</v>
      </c>
      <c r="M31" s="1"/>
      <c r="N31" s="5">
        <f t="shared" ref="N31:N41" si="19">IF(H31=0,0,L31/H31)</f>
        <v>9.9841624189553391E-2</v>
      </c>
      <c r="O31" s="14"/>
      <c r="P31" s="1">
        <f>SUM(OSRRefP22_1x_0)</f>
        <v>311615.81999999995</v>
      </c>
      <c r="Q31" s="1"/>
      <c r="R31" s="5">
        <f t="shared" ref="R31:R41" si="20">IF(P$12=0,0,P31/P$12)</f>
        <v>0</v>
      </c>
      <c r="S31" s="1"/>
      <c r="T31" s="1">
        <f>SUM(OSRRefT22_1x_0)</f>
        <v>286406.56299999997</v>
      </c>
      <c r="U31" s="1"/>
      <c r="V31" s="5">
        <f t="shared" ref="V31:V41" si="21">IF(T$12=0,0,T31/T$12)</f>
        <v>0</v>
      </c>
      <c r="W31" s="1"/>
      <c r="X31" s="1">
        <f t="shared" ref="X31:X41" si="22">+P31-T31</f>
        <v>25209.256999999983</v>
      </c>
      <c r="Y31" s="1"/>
      <c r="Z31" s="5">
        <f t="shared" ref="Z31:Z41" si="23">IF(T31=0,0,X31/T31)</f>
        <v>8.8019131740357456E-2</v>
      </c>
    </row>
    <row r="32" spans="1:26" s="24" customFormat="1" hidden="1" outlineLevel="2" x14ac:dyDescent="0.3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>
        <v>4658.26</v>
      </c>
      <c r="E32" s="2"/>
      <c r="F32" s="7">
        <f t="shared" si="16"/>
        <v>0</v>
      </c>
      <c r="G32" s="2"/>
      <c r="H32" s="6">
        <v>4139.8076923076896</v>
      </c>
      <c r="I32" s="2"/>
      <c r="J32" s="7">
        <f t="shared" si="17"/>
        <v>0</v>
      </c>
      <c r="K32" s="2"/>
      <c r="L32" s="6">
        <f t="shared" si="18"/>
        <v>518.45230769231057</v>
      </c>
      <c r="M32" s="2"/>
      <c r="N32" s="7">
        <f t="shared" si="19"/>
        <v>0.1252358433595028</v>
      </c>
      <c r="O32" s="11"/>
      <c r="P32" s="6">
        <v>28334.77</v>
      </c>
      <c r="Q32" s="2"/>
      <c r="R32" s="7">
        <f t="shared" si="20"/>
        <v>0</v>
      </c>
      <c r="S32" s="2"/>
      <c r="T32" s="6">
        <v>26908.75</v>
      </c>
      <c r="U32" s="2"/>
      <c r="V32" s="7">
        <f t="shared" si="21"/>
        <v>0</v>
      </c>
      <c r="W32" s="2"/>
      <c r="X32" s="6">
        <f t="shared" si="22"/>
        <v>1426.0200000000004</v>
      </c>
      <c r="Y32" s="2"/>
      <c r="Z32" s="7">
        <f t="shared" si="23"/>
        <v>5.2994657871510212E-2</v>
      </c>
    </row>
    <row r="33" spans="1:26" s="24" customFormat="1" hidden="1" outlineLevel="2" x14ac:dyDescent="0.3">
      <c r="A33" s="29"/>
      <c r="B33" s="11" t="str">
        <f>CONCATENATE("          ", "6002", " - ", "STAFF SALARIES")</f>
        <v xml:space="preserve">          6002 - STAFF SALARIES</v>
      </c>
      <c r="C33" s="11"/>
      <c r="D33" s="6">
        <v>11360.02</v>
      </c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11360.02</v>
      </c>
      <c r="M33" s="2"/>
      <c r="N33" s="7">
        <f t="shared" si="19"/>
        <v>0</v>
      </c>
      <c r="O33" s="11"/>
      <c r="P33" s="6">
        <v>65552.45</v>
      </c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65552.45</v>
      </c>
      <c r="Y33" s="2"/>
      <c r="Z33" s="7">
        <f t="shared" si="23"/>
        <v>0</v>
      </c>
    </row>
    <row r="34" spans="1:26" s="24" customFormat="1" hidden="1" outlineLevel="2" x14ac:dyDescent="0.3">
      <c r="A34" s="29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3">
      <c r="A35" s="29"/>
      <c r="B35" s="11" t="str">
        <f>CONCATENATE("          ", "6004", " - ", "STAFF HOURLY")</f>
        <v xml:space="preserve">          6004 - STAFF HOURLY</v>
      </c>
      <c r="C35" s="11"/>
      <c r="D35" s="6">
        <v>7509.18</v>
      </c>
      <c r="E35" s="2"/>
      <c r="F35" s="7">
        <f t="shared" si="16"/>
        <v>0</v>
      </c>
      <c r="G35" s="2"/>
      <c r="H35" s="6">
        <v>8115.4319999999998</v>
      </c>
      <c r="I35" s="2"/>
      <c r="J35" s="7">
        <f t="shared" si="17"/>
        <v>0</v>
      </c>
      <c r="K35" s="2"/>
      <c r="L35" s="6">
        <f t="shared" si="18"/>
        <v>-606.2519999999995</v>
      </c>
      <c r="M35" s="2"/>
      <c r="N35" s="7">
        <f t="shared" si="19"/>
        <v>-7.4703601730628691E-2</v>
      </c>
      <c r="O35" s="11"/>
      <c r="P35" s="6">
        <v>42623.05</v>
      </c>
      <c r="Q35" s="2"/>
      <c r="R35" s="7">
        <f t="shared" si="20"/>
        <v>0</v>
      </c>
      <c r="S35" s="2"/>
      <c r="T35" s="6">
        <v>52750.307999999997</v>
      </c>
      <c r="U35" s="2"/>
      <c r="V35" s="7">
        <f t="shared" si="21"/>
        <v>0</v>
      </c>
      <c r="W35" s="2"/>
      <c r="X35" s="6">
        <f t="shared" si="22"/>
        <v>-10127.257999999994</v>
      </c>
      <c r="Y35" s="2"/>
      <c r="Z35" s="7">
        <f t="shared" si="23"/>
        <v>-0.19198481267635431</v>
      </c>
    </row>
    <row r="36" spans="1:26" s="24" customFormat="1" hidden="1" outlineLevel="2" x14ac:dyDescent="0.3">
      <c r="A36" s="29"/>
      <c r="B36" s="11" t="str">
        <f>CONCATENATE("          ", "6005", " - ", "TEMPORARY WAGES-HOURLY")</f>
        <v xml:space="preserve">          6005 - TEMPORARY WAGES-HOURLY</v>
      </c>
      <c r="C36" s="11"/>
      <c r="D36" s="6">
        <v>2095.19</v>
      </c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2095.19</v>
      </c>
      <c r="M36" s="2"/>
      <c r="N36" s="7">
        <f t="shared" si="19"/>
        <v>0</v>
      </c>
      <c r="O36" s="11"/>
      <c r="P36" s="6">
        <v>17937.669999999998</v>
      </c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17937.669999999998</v>
      </c>
      <c r="Y36" s="2"/>
      <c r="Z36" s="7">
        <f t="shared" si="23"/>
        <v>0</v>
      </c>
    </row>
    <row r="37" spans="1:26" s="24" customFormat="1" hidden="1" outlineLevel="2" x14ac:dyDescent="0.3">
      <c r="A37" s="29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9877.6200000000008</v>
      </c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9877.6200000000008</v>
      </c>
      <c r="Y37" s="2"/>
      <c r="Z37" s="7">
        <f t="shared" si="23"/>
        <v>0</v>
      </c>
    </row>
    <row r="38" spans="1:26" s="24" customFormat="1" hidden="1" outlineLevel="2" x14ac:dyDescent="0.3">
      <c r="A38" s="29"/>
      <c r="B38" s="11" t="str">
        <f>CONCATENATE("          ", "6007", " - ", "STUDENT HOURLY")</f>
        <v xml:space="preserve">          6007 - STUDENT HOURLY</v>
      </c>
      <c r="C38" s="11"/>
      <c r="D38" s="6">
        <v>21435.59</v>
      </c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21435.59</v>
      </c>
      <c r="M38" s="2"/>
      <c r="N38" s="7">
        <f t="shared" si="19"/>
        <v>0</v>
      </c>
      <c r="O38" s="11"/>
      <c r="P38" s="6">
        <v>136679.03</v>
      </c>
      <c r="Q38" s="2"/>
      <c r="R38" s="7">
        <f t="shared" si="20"/>
        <v>0</v>
      </c>
      <c r="S38" s="2"/>
      <c r="T38" s="6">
        <v>60209.13</v>
      </c>
      <c r="U38" s="2"/>
      <c r="V38" s="7">
        <f t="shared" si="21"/>
        <v>0</v>
      </c>
      <c r="W38" s="2"/>
      <c r="X38" s="6">
        <f t="shared" si="22"/>
        <v>76469.899999999994</v>
      </c>
      <c r="Y38" s="2"/>
      <c r="Z38" s="7">
        <f t="shared" si="23"/>
        <v>1.2700714991231397</v>
      </c>
    </row>
    <row r="39" spans="1:26" s="24" customFormat="1" hidden="1" outlineLevel="2" x14ac:dyDescent="0.3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>
        <v>818.3</v>
      </c>
      <c r="E39" s="2"/>
      <c r="F39" s="7">
        <f t="shared" si="16"/>
        <v>0</v>
      </c>
      <c r="G39" s="2"/>
      <c r="H39" s="6">
        <v>31275.154999999999</v>
      </c>
      <c r="I39" s="2"/>
      <c r="J39" s="7">
        <f t="shared" si="17"/>
        <v>0</v>
      </c>
      <c r="K39" s="2"/>
      <c r="L39" s="6">
        <f t="shared" si="18"/>
        <v>-30456.855</v>
      </c>
      <c r="M39" s="2"/>
      <c r="N39" s="7">
        <f t="shared" si="19"/>
        <v>-0.97383546140698585</v>
      </c>
      <c r="O39" s="11"/>
      <c r="P39" s="6">
        <v>10611.23</v>
      </c>
      <c r="Q39" s="2"/>
      <c r="R39" s="7">
        <f t="shared" si="20"/>
        <v>0</v>
      </c>
      <c r="S39" s="2"/>
      <c r="T39" s="6">
        <v>146538.375</v>
      </c>
      <c r="U39" s="2"/>
      <c r="V39" s="7">
        <f t="shared" si="21"/>
        <v>0</v>
      </c>
      <c r="W39" s="2"/>
      <c r="X39" s="6">
        <f t="shared" si="22"/>
        <v>-135927.14499999999</v>
      </c>
      <c r="Y39" s="2"/>
      <c r="Z39" s="7">
        <f t="shared" si="23"/>
        <v>-0.92758736406077924</v>
      </c>
    </row>
    <row r="40" spans="1:26" s="24" customFormat="1" hidden="1" outlineLevel="2" x14ac:dyDescent="0.3">
      <c r="A40" s="29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4" customFormat="1" hidden="1" outlineLevel="2" x14ac:dyDescent="0.3">
      <c r="A41" s="29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6"/>
        <v>0</v>
      </c>
      <c r="G41" s="2"/>
      <c r="H41" s="6">
        <v>0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8" customFormat="1" outlineLevel="1" collapsed="1" x14ac:dyDescent="0.3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4">IF(D$12=0,0,D42/D$12)</f>
        <v>0</v>
      </c>
      <c r="G42" s="1"/>
      <c r="H42" s="1">
        <f>SUM(OSRRefH22_2x_0)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0</v>
      </c>
      <c r="M42" s="1"/>
      <c r="N42" s="5">
        <f t="shared" ref="N42:N50" si="27">IF(H42=0,0,L42/H42)</f>
        <v>0</v>
      </c>
      <c r="O42" s="14"/>
      <c r="P42" s="1">
        <f>SUM(OSRRefP22_2x_0)</f>
        <v>160</v>
      </c>
      <c r="Q42" s="1"/>
      <c r="R42" s="5">
        <f t="shared" ref="R42:R50" si="28">IF(P$12=0,0,P42/P$12)</f>
        <v>0</v>
      </c>
      <c r="S42" s="1"/>
      <c r="T42" s="1">
        <f>SUM(OSRRefT22_2x_0)</f>
        <v>0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160</v>
      </c>
      <c r="Y42" s="1"/>
      <c r="Z42" s="5">
        <f t="shared" ref="Z42:Z50" si="31">IF(T42=0,0,X42/T42)</f>
        <v>0</v>
      </c>
    </row>
    <row r="43" spans="1:26" s="24" customFormat="1" hidden="1" outlineLevel="2" x14ac:dyDescent="0.3">
      <c r="A43" s="29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>
        <v>160</v>
      </c>
      <c r="Q43" s="2"/>
      <c r="R43" s="7">
        <f t="shared" si="28"/>
        <v>0</v>
      </c>
      <c r="S43" s="2"/>
      <c r="T43" s="6"/>
      <c r="U43" s="2"/>
      <c r="V43" s="7">
        <f t="shared" si="29"/>
        <v>0</v>
      </c>
      <c r="W43" s="2"/>
      <c r="X43" s="6">
        <f t="shared" si="30"/>
        <v>160</v>
      </c>
      <c r="Y43" s="2"/>
      <c r="Z43" s="7">
        <f t="shared" si="31"/>
        <v>0</v>
      </c>
    </row>
    <row r="44" spans="1:26" s="28" customFormat="1" outlineLevel="1" collapsed="1" x14ac:dyDescent="0.3">
      <c r="A44" s="27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-23.67</v>
      </c>
      <c r="E44" s="1"/>
      <c r="F44" s="5">
        <f t="shared" si="24"/>
        <v>0</v>
      </c>
      <c r="G44" s="1"/>
      <c r="H44" s="1">
        <f>SUM(OSRRefH22_3x_0)</f>
        <v>200</v>
      </c>
      <c r="I44" s="1"/>
      <c r="J44" s="5">
        <f t="shared" si="25"/>
        <v>0</v>
      </c>
      <c r="K44" s="1"/>
      <c r="L44" s="1">
        <f t="shared" si="26"/>
        <v>-223.67000000000002</v>
      </c>
      <c r="M44" s="1"/>
      <c r="N44" s="5">
        <f t="shared" si="27"/>
        <v>-1.1183500000000002</v>
      </c>
      <c r="O44" s="14"/>
      <c r="P44" s="1">
        <f>SUM(OSRRefP22_3x_0)</f>
        <v>166.54</v>
      </c>
      <c r="Q44" s="1"/>
      <c r="R44" s="5">
        <f t="shared" si="28"/>
        <v>0</v>
      </c>
      <c r="S44" s="1"/>
      <c r="T44" s="1">
        <f>SUM(OSRRefT22_3x_0)</f>
        <v>1200</v>
      </c>
      <c r="U44" s="1"/>
      <c r="V44" s="5">
        <f t="shared" si="29"/>
        <v>0</v>
      </c>
      <c r="W44" s="1"/>
      <c r="X44" s="1">
        <f t="shared" si="30"/>
        <v>-1033.46</v>
      </c>
      <c r="Y44" s="1"/>
      <c r="Z44" s="5">
        <f t="shared" si="31"/>
        <v>-0.86121666666666674</v>
      </c>
    </row>
    <row r="45" spans="1:26" s="24" customFormat="1" hidden="1" outlineLevel="2" x14ac:dyDescent="0.3">
      <c r="A45" s="29"/>
      <c r="B45" s="11" t="str">
        <f>CONCATENATE("          ", "6272", " - ", "CASH (OVER/SHORT)")</f>
        <v xml:space="preserve">          6272 - CASH (OVER/SHORT)</v>
      </c>
      <c r="C45" s="11"/>
      <c r="D45" s="6">
        <v>-23.67</v>
      </c>
      <c r="E45" s="2"/>
      <c r="F45" s="7">
        <f t="shared" si="24"/>
        <v>0</v>
      </c>
      <c r="G45" s="2"/>
      <c r="H45" s="6">
        <v>200</v>
      </c>
      <c r="I45" s="2"/>
      <c r="J45" s="7">
        <f t="shared" si="25"/>
        <v>0</v>
      </c>
      <c r="K45" s="2"/>
      <c r="L45" s="6">
        <f t="shared" si="26"/>
        <v>-223.67000000000002</v>
      </c>
      <c r="M45" s="2"/>
      <c r="N45" s="7">
        <f t="shared" si="27"/>
        <v>-1.1183500000000002</v>
      </c>
      <c r="O45" s="11"/>
      <c r="P45" s="6">
        <v>166.54</v>
      </c>
      <c r="Q45" s="2"/>
      <c r="R45" s="7">
        <f t="shared" si="28"/>
        <v>0</v>
      </c>
      <c r="S45" s="2"/>
      <c r="T45" s="6">
        <v>1200</v>
      </c>
      <c r="U45" s="2"/>
      <c r="V45" s="7">
        <f t="shared" si="29"/>
        <v>0</v>
      </c>
      <c r="W45" s="2"/>
      <c r="X45" s="6">
        <f t="shared" si="30"/>
        <v>-1033.46</v>
      </c>
      <c r="Y45" s="2"/>
      <c r="Z45" s="7">
        <f t="shared" si="31"/>
        <v>-0.86121666666666674</v>
      </c>
    </row>
    <row r="46" spans="1:26" s="28" customFormat="1" outlineLevel="1" collapsed="1" x14ac:dyDescent="0.3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8159.3</v>
      </c>
      <c r="E46" s="1"/>
      <c r="F46" s="5">
        <f t="shared" si="24"/>
        <v>0</v>
      </c>
      <c r="G46" s="1"/>
      <c r="H46" s="1">
        <f>SUM(OSRRefH22_4x_0)</f>
        <v>6700</v>
      </c>
      <c r="I46" s="1"/>
      <c r="J46" s="5">
        <f t="shared" si="25"/>
        <v>0</v>
      </c>
      <c r="K46" s="1"/>
      <c r="L46" s="1">
        <f t="shared" si="26"/>
        <v>1459.3000000000002</v>
      </c>
      <c r="M46" s="1"/>
      <c r="N46" s="5">
        <f t="shared" si="27"/>
        <v>0.21780597014925376</v>
      </c>
      <c r="O46" s="14"/>
      <c r="P46" s="1">
        <f>SUM(OSRRefP22_4x_0)</f>
        <v>63892.01</v>
      </c>
      <c r="Q46" s="1"/>
      <c r="R46" s="5">
        <f t="shared" si="28"/>
        <v>0</v>
      </c>
      <c r="S46" s="1"/>
      <c r="T46" s="1">
        <f>SUM(OSRRefT22_4x_0)</f>
        <v>92300</v>
      </c>
      <c r="U46" s="1"/>
      <c r="V46" s="5">
        <f t="shared" si="29"/>
        <v>0</v>
      </c>
      <c r="W46" s="1"/>
      <c r="X46" s="1">
        <f t="shared" si="30"/>
        <v>-28407.989999999998</v>
      </c>
      <c r="Y46" s="1"/>
      <c r="Z46" s="5">
        <f t="shared" si="31"/>
        <v>-0.30777887323943659</v>
      </c>
    </row>
    <row r="47" spans="1:26" s="24" customFormat="1" hidden="1" outlineLevel="2" x14ac:dyDescent="0.3">
      <c r="A47" s="29"/>
      <c r="B47" s="11" t="str">
        <f>CONCATENATE("          ", "6381", " - ", "BANK/CREDIT CARD FEES")</f>
        <v xml:space="preserve">          6381 - BANK/CREDIT CARD FEES</v>
      </c>
      <c r="C47" s="11"/>
      <c r="D47" s="6">
        <v>8159.3</v>
      </c>
      <c r="E47" s="2"/>
      <c r="F47" s="7">
        <f t="shared" si="24"/>
        <v>0</v>
      </c>
      <c r="G47" s="2"/>
      <c r="H47" s="6">
        <v>6700</v>
      </c>
      <c r="I47" s="2"/>
      <c r="J47" s="7">
        <f t="shared" si="25"/>
        <v>0</v>
      </c>
      <c r="K47" s="2"/>
      <c r="L47" s="6">
        <f t="shared" si="26"/>
        <v>1459.3000000000002</v>
      </c>
      <c r="M47" s="2"/>
      <c r="N47" s="7">
        <f t="shared" si="27"/>
        <v>0.21780597014925376</v>
      </c>
      <c r="O47" s="11"/>
      <c r="P47" s="6">
        <v>63892.01</v>
      </c>
      <c r="Q47" s="2"/>
      <c r="R47" s="7">
        <f t="shared" si="28"/>
        <v>0</v>
      </c>
      <c r="S47" s="2"/>
      <c r="T47" s="6">
        <v>92300</v>
      </c>
      <c r="U47" s="2"/>
      <c r="V47" s="7">
        <f t="shared" si="29"/>
        <v>0</v>
      </c>
      <c r="W47" s="2"/>
      <c r="X47" s="6">
        <f t="shared" si="30"/>
        <v>-28407.989999999998</v>
      </c>
      <c r="Y47" s="2"/>
      <c r="Z47" s="7">
        <f t="shared" si="31"/>
        <v>-0.30777887323943659</v>
      </c>
    </row>
    <row r="48" spans="1:26" s="28" customFormat="1" outlineLevel="1" collapsed="1" x14ac:dyDescent="0.3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30444.959999999999</v>
      </c>
      <c r="E48" s="1"/>
      <c r="F48" s="5">
        <f t="shared" si="24"/>
        <v>0</v>
      </c>
      <c r="G48" s="1"/>
      <c r="H48" s="1">
        <f>SUM(OSRRefH22_5x_0)</f>
        <v>30324</v>
      </c>
      <c r="I48" s="1"/>
      <c r="J48" s="5">
        <f t="shared" si="25"/>
        <v>0</v>
      </c>
      <c r="K48" s="1"/>
      <c r="L48" s="1">
        <f t="shared" si="26"/>
        <v>120.95999999999913</v>
      </c>
      <c r="M48" s="1"/>
      <c r="N48" s="5">
        <f t="shared" si="27"/>
        <v>3.9889196675899985E-3</v>
      </c>
      <c r="O48" s="14"/>
      <c r="P48" s="1">
        <f>SUM(OSRRefP22_5x_0)</f>
        <v>182987.31</v>
      </c>
      <c r="Q48" s="1"/>
      <c r="R48" s="5">
        <f t="shared" si="28"/>
        <v>0</v>
      </c>
      <c r="S48" s="1"/>
      <c r="T48" s="1">
        <f>SUM(OSRRefT22_5x_0)</f>
        <v>182261</v>
      </c>
      <c r="U48" s="1"/>
      <c r="V48" s="5">
        <f t="shared" si="29"/>
        <v>0</v>
      </c>
      <c r="W48" s="1"/>
      <c r="X48" s="1">
        <f t="shared" si="30"/>
        <v>726.30999999999767</v>
      </c>
      <c r="Y48" s="1"/>
      <c r="Z48" s="5">
        <f t="shared" si="31"/>
        <v>3.9849995336358173E-3</v>
      </c>
    </row>
    <row r="49" spans="1:26" s="24" customFormat="1" hidden="1" outlineLevel="2" x14ac:dyDescent="0.3">
      <c r="A49" s="29"/>
      <c r="B49" s="11" t="str">
        <f>CONCATENATE("          ", "6321", " - ", "BUILDING DEPRECIATION")</f>
        <v xml:space="preserve">          6321 - BUILDING DEPRECIATION</v>
      </c>
      <c r="C49" s="11"/>
      <c r="D49" s="6">
        <v>16396.509999999998</v>
      </c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16396.509999999998</v>
      </c>
      <c r="M49" s="2"/>
      <c r="N49" s="7">
        <f t="shared" si="27"/>
        <v>0</v>
      </c>
      <c r="O49" s="11"/>
      <c r="P49" s="6">
        <v>98379.11</v>
      </c>
      <c r="Q49" s="2"/>
      <c r="R49" s="7">
        <f t="shared" si="28"/>
        <v>0</v>
      </c>
      <c r="S49" s="2"/>
      <c r="T49" s="6"/>
      <c r="U49" s="2"/>
      <c r="V49" s="7">
        <f t="shared" si="29"/>
        <v>0</v>
      </c>
      <c r="W49" s="2"/>
      <c r="X49" s="6">
        <f t="shared" si="30"/>
        <v>98379.11</v>
      </c>
      <c r="Y49" s="2"/>
      <c r="Z49" s="7">
        <f t="shared" si="31"/>
        <v>0</v>
      </c>
    </row>
    <row r="50" spans="1:26" s="24" customFormat="1" hidden="1" outlineLevel="2" x14ac:dyDescent="0.3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14048.45</v>
      </c>
      <c r="E50" s="2"/>
      <c r="F50" s="7">
        <f t="shared" si="24"/>
        <v>0</v>
      </c>
      <c r="G50" s="2"/>
      <c r="H50" s="6">
        <v>30324</v>
      </c>
      <c r="I50" s="2"/>
      <c r="J50" s="7">
        <f t="shared" si="25"/>
        <v>0</v>
      </c>
      <c r="K50" s="2"/>
      <c r="L50" s="6">
        <f t="shared" si="26"/>
        <v>-16275.55</v>
      </c>
      <c r="M50" s="2"/>
      <c r="N50" s="7">
        <f t="shared" si="27"/>
        <v>-0.53672173855691863</v>
      </c>
      <c r="O50" s="11"/>
      <c r="P50" s="6">
        <v>84608.2</v>
      </c>
      <c r="Q50" s="2"/>
      <c r="R50" s="7">
        <f t="shared" si="28"/>
        <v>0</v>
      </c>
      <c r="S50" s="2"/>
      <c r="T50" s="6">
        <v>182261</v>
      </c>
      <c r="U50" s="2"/>
      <c r="V50" s="7">
        <f t="shared" si="29"/>
        <v>0</v>
      </c>
      <c r="W50" s="2"/>
      <c r="X50" s="6">
        <f t="shared" si="30"/>
        <v>-97652.800000000003</v>
      </c>
      <c r="Y50" s="2"/>
      <c r="Z50" s="7">
        <f t="shared" si="31"/>
        <v>-0.5357854944283198</v>
      </c>
    </row>
    <row r="51" spans="1:26" s="28" customFormat="1" outlineLevel="1" collapsed="1" x14ac:dyDescent="0.3">
      <c r="A51" s="27"/>
      <c r="B51" s="14" t="str">
        <f>CONCATENATE("     ","Discounts and Markdowns                           ")</f>
        <v xml:space="preserve">     Discounts and Markdowns                           </v>
      </c>
      <c r="C51" s="14"/>
      <c r="D51" s="1">
        <f>SUM(OSRRefD22_6x_0)</f>
        <v>-1.29</v>
      </c>
      <c r="E51" s="1"/>
      <c r="F51" s="5">
        <f t="shared" ref="F51:F53" si="32">IF(D$12=0,0,D51/D$12)</f>
        <v>0</v>
      </c>
      <c r="G51" s="1"/>
      <c r="H51" s="1">
        <f>SUM(OSRRefH22_6x_0)</f>
        <v>0</v>
      </c>
      <c r="I51" s="1"/>
      <c r="J51" s="5">
        <f t="shared" ref="J51:J53" si="33">IF(H$12=0,0,H51/H$12)</f>
        <v>0</v>
      </c>
      <c r="K51" s="1"/>
      <c r="L51" s="1">
        <f t="shared" ref="L51:L53" si="34">+D51-H51</f>
        <v>-1.29</v>
      </c>
      <c r="M51" s="1"/>
      <c r="N51" s="5">
        <f t="shared" ref="N51:N53" si="35">IF(H51=0,0,L51/H51)</f>
        <v>0</v>
      </c>
      <c r="O51" s="14"/>
      <c r="P51" s="1">
        <f>SUM(OSRRefP22_6x_0)</f>
        <v>3383.69</v>
      </c>
      <c r="Q51" s="1"/>
      <c r="R51" s="5">
        <f t="shared" ref="R51:R53" si="36">IF(P$12=0,0,P51/P$12)</f>
        <v>0</v>
      </c>
      <c r="S51" s="1"/>
      <c r="T51" s="1">
        <f>SUM(OSRRefT22_6x_0)</f>
        <v>0</v>
      </c>
      <c r="U51" s="1"/>
      <c r="V51" s="5">
        <f t="shared" ref="V51:V53" si="37">IF(T$12=0,0,T51/T$12)</f>
        <v>0</v>
      </c>
      <c r="W51" s="1"/>
      <c r="X51" s="1">
        <f t="shared" ref="X51:X53" si="38">+P51-T51</f>
        <v>3383.69</v>
      </c>
      <c r="Y51" s="1"/>
      <c r="Z51" s="5">
        <f t="shared" ref="Z51:Z53" si="39">IF(T51=0,0,X51/T51)</f>
        <v>0</v>
      </c>
    </row>
    <row r="52" spans="1:26" s="24" customFormat="1" hidden="1" outlineLevel="2" x14ac:dyDescent="0.3">
      <c r="A52" s="29"/>
      <c r="B52" s="11" t="str">
        <f>CONCATENATE("          ", "6382", " - ", "DISCOUNTS/MARK DOWNS")</f>
        <v xml:space="preserve">          6382 - DISCOUNTS/MARK DOWNS</v>
      </c>
      <c r="C52" s="11"/>
      <c r="D52" s="6"/>
      <c r="E52" s="2"/>
      <c r="F52" s="7">
        <f t="shared" si="32"/>
        <v>0</v>
      </c>
      <c r="G52" s="2"/>
      <c r="H52" s="6"/>
      <c r="I52" s="2"/>
      <c r="J52" s="7">
        <f t="shared" si="33"/>
        <v>0</v>
      </c>
      <c r="K52" s="2"/>
      <c r="L52" s="6">
        <f t="shared" si="34"/>
        <v>0</v>
      </c>
      <c r="M52" s="2"/>
      <c r="N52" s="7">
        <f t="shared" si="35"/>
        <v>0</v>
      </c>
      <c r="O52" s="11"/>
      <c r="P52" s="6">
        <v>3410</v>
      </c>
      <c r="Q52" s="2"/>
      <c r="R52" s="7">
        <f t="shared" si="36"/>
        <v>0</v>
      </c>
      <c r="S52" s="2"/>
      <c r="T52" s="6"/>
      <c r="U52" s="2"/>
      <c r="V52" s="7">
        <f t="shared" si="37"/>
        <v>0</v>
      </c>
      <c r="W52" s="2"/>
      <c r="X52" s="6">
        <f t="shared" si="38"/>
        <v>3410</v>
      </c>
      <c r="Y52" s="2"/>
      <c r="Z52" s="7">
        <f t="shared" si="39"/>
        <v>0</v>
      </c>
    </row>
    <row r="53" spans="1:26" s="24" customFormat="1" hidden="1" outlineLevel="2" x14ac:dyDescent="0.3">
      <c r="A53" s="29"/>
      <c r="B53" s="11" t="str">
        <f>CONCATENATE("          ", "9175", " - ", "EARNED DISCOUNTS")</f>
        <v xml:space="preserve">          9175 - EARNED DISCOUNTS</v>
      </c>
      <c r="C53" s="11"/>
      <c r="D53" s="6">
        <v>-1.29</v>
      </c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-1.29</v>
      </c>
      <c r="M53" s="2"/>
      <c r="N53" s="7">
        <f t="shared" si="35"/>
        <v>0</v>
      </c>
      <c r="O53" s="11"/>
      <c r="P53" s="6">
        <v>-26.31</v>
      </c>
      <c r="Q53" s="2"/>
      <c r="R53" s="7">
        <f t="shared" si="36"/>
        <v>0</v>
      </c>
      <c r="S53" s="2"/>
      <c r="T53" s="6"/>
      <c r="U53" s="2"/>
      <c r="V53" s="7">
        <f t="shared" si="37"/>
        <v>0</v>
      </c>
      <c r="W53" s="2"/>
      <c r="X53" s="6">
        <f t="shared" si="38"/>
        <v>-26.31</v>
      </c>
      <c r="Y53" s="2"/>
      <c r="Z53" s="7">
        <f t="shared" si="39"/>
        <v>0</v>
      </c>
    </row>
    <row r="54" spans="1:26" s="28" customFormat="1" outlineLevel="1" collapsed="1" x14ac:dyDescent="0.3">
      <c r="A54" s="27"/>
      <c r="B54" s="14" t="str">
        <f>CONCATENATE("     ","Donations                                         ")</f>
        <v xml:space="preserve">     Donations                                         </v>
      </c>
      <c r="C54" s="14"/>
      <c r="D54" s="1">
        <f>SUM(OSRRefD22_7x_0)</f>
        <v>0</v>
      </c>
      <c r="E54" s="1"/>
      <c r="F54" s="5">
        <f t="shared" ref="F54:F74" si="40">IF(D$12=0,0,D54/D$12)</f>
        <v>0</v>
      </c>
      <c r="G54" s="1"/>
      <c r="H54" s="1">
        <f>SUM(OSRRefH22_7x_0)</f>
        <v>1250</v>
      </c>
      <c r="I54" s="1"/>
      <c r="J54" s="5">
        <f t="shared" ref="J54:J74" si="41">IF(H$12=0,0,H54/H$12)</f>
        <v>0</v>
      </c>
      <c r="K54" s="1"/>
      <c r="L54" s="1">
        <f t="shared" ref="L54:L74" si="42">+D54-H54</f>
        <v>-1250</v>
      </c>
      <c r="M54" s="1"/>
      <c r="N54" s="5">
        <f t="shared" ref="N54:N74" si="43">IF(H54=0,0,L54/H54)</f>
        <v>-1</v>
      </c>
      <c r="O54" s="14"/>
      <c r="P54" s="1">
        <f>SUM(OSRRefP22_7x_0)</f>
        <v>2820.22</v>
      </c>
      <c r="Q54" s="1"/>
      <c r="R54" s="5">
        <f t="shared" ref="R54:R74" si="44">IF(P$12=0,0,P54/P$12)</f>
        <v>0</v>
      </c>
      <c r="S54" s="1"/>
      <c r="T54" s="1">
        <f>SUM(OSRRefT22_7x_0)</f>
        <v>7500</v>
      </c>
      <c r="U54" s="1"/>
      <c r="V54" s="5">
        <f t="shared" ref="V54:V74" si="45">IF(T$12=0,0,T54/T$12)</f>
        <v>0</v>
      </c>
      <c r="W54" s="1"/>
      <c r="X54" s="1">
        <f t="shared" ref="X54:X74" si="46">+P54-T54</f>
        <v>-4679.7800000000007</v>
      </c>
      <c r="Y54" s="1"/>
      <c r="Z54" s="5">
        <f t="shared" ref="Z54:Z74" si="47">IF(T54=0,0,X54/T54)</f>
        <v>-0.62397066666666678</v>
      </c>
    </row>
    <row r="55" spans="1:26" s="24" customFormat="1" hidden="1" outlineLevel="2" x14ac:dyDescent="0.3">
      <c r="A55" s="29"/>
      <c r="B55" s="11" t="str">
        <f>CONCATENATE("          ", "6399", " - ", "DONATION-ON CAMPUS")</f>
        <v xml:space="preserve">          6399 - DONATION-ON CAMPUS</v>
      </c>
      <c r="C55" s="11"/>
      <c r="D55" s="6"/>
      <c r="E55" s="2"/>
      <c r="F55" s="7">
        <f t="shared" si="40"/>
        <v>0</v>
      </c>
      <c r="G55" s="2"/>
      <c r="H55" s="6">
        <v>1250</v>
      </c>
      <c r="I55" s="2"/>
      <c r="J55" s="7">
        <f t="shared" si="41"/>
        <v>0</v>
      </c>
      <c r="K55" s="2"/>
      <c r="L55" s="6">
        <f t="shared" si="42"/>
        <v>-1250</v>
      </c>
      <c r="M55" s="2"/>
      <c r="N55" s="7">
        <f t="shared" si="43"/>
        <v>-1</v>
      </c>
      <c r="O55" s="11"/>
      <c r="P55" s="6">
        <v>2820.22</v>
      </c>
      <c r="Q55" s="2"/>
      <c r="R55" s="7">
        <f t="shared" si="44"/>
        <v>0</v>
      </c>
      <c r="S55" s="2"/>
      <c r="T55" s="6">
        <v>7500</v>
      </c>
      <c r="U55" s="2"/>
      <c r="V55" s="7">
        <f t="shared" si="45"/>
        <v>0</v>
      </c>
      <c r="W55" s="2"/>
      <c r="X55" s="6">
        <f t="shared" si="46"/>
        <v>-4679.7800000000007</v>
      </c>
      <c r="Y55" s="2"/>
      <c r="Z55" s="7">
        <f t="shared" si="47"/>
        <v>-0.62397066666666678</v>
      </c>
    </row>
    <row r="56" spans="1:26" s="28" customFormat="1" outlineLevel="1" collapsed="1" x14ac:dyDescent="0.3">
      <c r="A56" s="27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SUM(OSRRefD22_8x_0)</f>
        <v>949.16</v>
      </c>
      <c r="E56" s="1"/>
      <c r="F56" s="5">
        <f t="shared" si="40"/>
        <v>0</v>
      </c>
      <c r="G56" s="1"/>
      <c r="H56" s="1">
        <f>SUM(OSRRefH22_8x_0)</f>
        <v>100</v>
      </c>
      <c r="I56" s="1"/>
      <c r="J56" s="5">
        <f t="shared" si="41"/>
        <v>0</v>
      </c>
      <c r="K56" s="1"/>
      <c r="L56" s="1">
        <f t="shared" si="42"/>
        <v>849.16</v>
      </c>
      <c r="M56" s="1"/>
      <c r="N56" s="5">
        <f t="shared" si="43"/>
        <v>8.4916</v>
      </c>
      <c r="O56" s="14"/>
      <c r="P56" s="1">
        <f>SUM(OSRRefP22_8x_0)</f>
        <v>2607.37</v>
      </c>
      <c r="Q56" s="1"/>
      <c r="R56" s="5">
        <f t="shared" si="44"/>
        <v>0</v>
      </c>
      <c r="S56" s="1"/>
      <c r="T56" s="1">
        <f>SUM(OSRRefT22_8x_0)</f>
        <v>600</v>
      </c>
      <c r="U56" s="1"/>
      <c r="V56" s="5">
        <f t="shared" si="45"/>
        <v>0</v>
      </c>
      <c r="W56" s="1"/>
      <c r="X56" s="1">
        <f t="shared" si="46"/>
        <v>2007.37</v>
      </c>
      <c r="Y56" s="1"/>
      <c r="Z56" s="5">
        <f t="shared" si="47"/>
        <v>3.3456166666666665</v>
      </c>
    </row>
    <row r="57" spans="1:26" s="24" customFormat="1" hidden="1" outlineLevel="2" x14ac:dyDescent="0.3">
      <c r="A57" s="29"/>
      <c r="B57" s="11" t="str">
        <f>CONCATENATE("          ", "6277", " - ", "EMPLOYEE APPRECIATION")</f>
        <v xml:space="preserve">          6277 - EMPLOYEE APPRECIATION</v>
      </c>
      <c r="C57" s="11"/>
      <c r="D57" s="6">
        <v>949.16</v>
      </c>
      <c r="E57" s="2"/>
      <c r="F57" s="7">
        <f t="shared" si="40"/>
        <v>0</v>
      </c>
      <c r="G57" s="2"/>
      <c r="H57" s="6">
        <v>100</v>
      </c>
      <c r="I57" s="2"/>
      <c r="J57" s="7">
        <f t="shared" si="41"/>
        <v>0</v>
      </c>
      <c r="K57" s="2"/>
      <c r="L57" s="6">
        <f t="shared" si="42"/>
        <v>849.16</v>
      </c>
      <c r="M57" s="2"/>
      <c r="N57" s="7">
        <f t="shared" si="43"/>
        <v>8.4916</v>
      </c>
      <c r="O57" s="11"/>
      <c r="P57" s="6">
        <v>2607.37</v>
      </c>
      <c r="Q57" s="2"/>
      <c r="R57" s="7">
        <f t="shared" si="44"/>
        <v>0</v>
      </c>
      <c r="S57" s="2"/>
      <c r="T57" s="6">
        <v>600</v>
      </c>
      <c r="U57" s="2"/>
      <c r="V57" s="7">
        <f t="shared" si="45"/>
        <v>0</v>
      </c>
      <c r="W57" s="2"/>
      <c r="X57" s="6">
        <f t="shared" si="46"/>
        <v>2007.37</v>
      </c>
      <c r="Y57" s="2"/>
      <c r="Z57" s="7">
        <f t="shared" si="47"/>
        <v>3.3456166666666665</v>
      </c>
    </row>
    <row r="58" spans="1:26" s="28" customFormat="1" outlineLevel="1" collapsed="1" x14ac:dyDescent="0.3">
      <c r="A58" s="27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SUM(OSRRefD22_9x_0)</f>
        <v>91.26</v>
      </c>
      <c r="E58" s="1"/>
      <c r="F58" s="5">
        <f t="shared" si="40"/>
        <v>0</v>
      </c>
      <c r="G58" s="1"/>
      <c r="H58" s="1">
        <f>SUM(OSRRefH22_9x_0)</f>
        <v>300</v>
      </c>
      <c r="I58" s="1"/>
      <c r="J58" s="5">
        <f t="shared" si="41"/>
        <v>0</v>
      </c>
      <c r="K58" s="1"/>
      <c r="L58" s="1">
        <f t="shared" si="42"/>
        <v>-208.74</v>
      </c>
      <c r="M58" s="1"/>
      <c r="N58" s="5">
        <f t="shared" si="43"/>
        <v>-0.69580000000000009</v>
      </c>
      <c r="O58" s="14"/>
      <c r="P58" s="1">
        <f>SUM(OSRRefP22_9x_0)</f>
        <v>1930.21</v>
      </c>
      <c r="Q58" s="1"/>
      <c r="R58" s="5">
        <f t="shared" si="44"/>
        <v>0</v>
      </c>
      <c r="S58" s="1"/>
      <c r="T58" s="1">
        <f>SUM(OSRRefT22_9x_0)</f>
        <v>1800</v>
      </c>
      <c r="U58" s="1"/>
      <c r="V58" s="5">
        <f t="shared" si="45"/>
        <v>0</v>
      </c>
      <c r="W58" s="1"/>
      <c r="X58" s="1">
        <f t="shared" si="46"/>
        <v>130.21000000000004</v>
      </c>
      <c r="Y58" s="1"/>
      <c r="Z58" s="5">
        <f t="shared" si="47"/>
        <v>7.2338888888888911E-2</v>
      </c>
    </row>
    <row r="59" spans="1:26" s="24" customFormat="1" hidden="1" outlineLevel="2" x14ac:dyDescent="0.3">
      <c r="A59" s="29"/>
      <c r="B59" s="11" t="str">
        <f>CONCATENATE("          ", "6351", " - ", "EQUIPMENT RENTAL")</f>
        <v xml:space="preserve">          6351 - EQUIPMENT RENTAL</v>
      </c>
      <c r="C59" s="11"/>
      <c r="D59" s="6">
        <v>91.26</v>
      </c>
      <c r="E59" s="2"/>
      <c r="F59" s="7">
        <f t="shared" si="40"/>
        <v>0</v>
      </c>
      <c r="G59" s="2"/>
      <c r="H59" s="6">
        <v>300</v>
      </c>
      <c r="I59" s="2"/>
      <c r="J59" s="7">
        <f t="shared" si="41"/>
        <v>0</v>
      </c>
      <c r="K59" s="2"/>
      <c r="L59" s="6">
        <f t="shared" si="42"/>
        <v>-208.74</v>
      </c>
      <c r="M59" s="2"/>
      <c r="N59" s="7">
        <f t="shared" si="43"/>
        <v>-0.69580000000000009</v>
      </c>
      <c r="O59" s="11"/>
      <c r="P59" s="6">
        <v>1930.21</v>
      </c>
      <c r="Q59" s="2"/>
      <c r="R59" s="7">
        <f t="shared" si="44"/>
        <v>0</v>
      </c>
      <c r="S59" s="2"/>
      <c r="T59" s="6">
        <v>1800</v>
      </c>
      <c r="U59" s="2"/>
      <c r="V59" s="7">
        <f t="shared" si="45"/>
        <v>0</v>
      </c>
      <c r="W59" s="2"/>
      <c r="X59" s="6">
        <f t="shared" si="46"/>
        <v>130.21000000000004</v>
      </c>
      <c r="Y59" s="2"/>
      <c r="Z59" s="7">
        <f t="shared" si="47"/>
        <v>7.2338888888888911E-2</v>
      </c>
    </row>
    <row r="60" spans="1:26" s="28" customFormat="1" outlineLevel="1" collapsed="1" x14ac:dyDescent="0.3">
      <c r="A60" s="27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SUM(OSRRefD22_10x_0)</f>
        <v>15.95</v>
      </c>
      <c r="E60" s="1"/>
      <c r="F60" s="5">
        <f t="shared" si="40"/>
        <v>0</v>
      </c>
      <c r="G60" s="1"/>
      <c r="H60" s="1">
        <f>SUM(OSRRefH22_10x_0)</f>
        <v>100</v>
      </c>
      <c r="I60" s="1"/>
      <c r="J60" s="5">
        <f t="shared" si="41"/>
        <v>0</v>
      </c>
      <c r="K60" s="1"/>
      <c r="L60" s="1">
        <f t="shared" si="42"/>
        <v>-84.05</v>
      </c>
      <c r="M60" s="1"/>
      <c r="N60" s="5">
        <f t="shared" si="43"/>
        <v>-0.84050000000000002</v>
      </c>
      <c r="O60" s="14"/>
      <c r="P60" s="1">
        <f>SUM(OSRRefP22_10x_0)</f>
        <v>9506.24</v>
      </c>
      <c r="Q60" s="1"/>
      <c r="R60" s="5">
        <f t="shared" si="44"/>
        <v>0</v>
      </c>
      <c r="S60" s="1"/>
      <c r="T60" s="1">
        <f>SUM(OSRRefT22_10x_0)</f>
        <v>600</v>
      </c>
      <c r="U60" s="1"/>
      <c r="V60" s="5">
        <f t="shared" si="45"/>
        <v>0</v>
      </c>
      <c r="W60" s="1"/>
      <c r="X60" s="1">
        <f t="shared" si="46"/>
        <v>8906.24</v>
      </c>
      <c r="Y60" s="1"/>
      <c r="Z60" s="5">
        <f t="shared" si="47"/>
        <v>14.843733333333333</v>
      </c>
    </row>
    <row r="61" spans="1:26" s="24" customFormat="1" hidden="1" outlineLevel="2" x14ac:dyDescent="0.3">
      <c r="A61" s="29"/>
      <c r="B61" s="11" t="str">
        <f>CONCATENATE("          ", "6307", " - ", "POSTAGE")</f>
        <v xml:space="preserve">          6307 - POSTAGE</v>
      </c>
      <c r="C61" s="11"/>
      <c r="D61" s="6">
        <v>15.95</v>
      </c>
      <c r="E61" s="2"/>
      <c r="F61" s="7">
        <f t="shared" si="40"/>
        <v>0</v>
      </c>
      <c r="G61" s="2"/>
      <c r="H61" s="6">
        <v>100</v>
      </c>
      <c r="I61" s="2"/>
      <c r="J61" s="7">
        <f t="shared" si="41"/>
        <v>0</v>
      </c>
      <c r="K61" s="2"/>
      <c r="L61" s="6">
        <f t="shared" si="42"/>
        <v>-84.05</v>
      </c>
      <c r="M61" s="2"/>
      <c r="N61" s="7">
        <f t="shared" si="43"/>
        <v>-0.84050000000000002</v>
      </c>
      <c r="O61" s="11"/>
      <c r="P61" s="6">
        <v>9506.24</v>
      </c>
      <c r="Q61" s="2"/>
      <c r="R61" s="7">
        <f t="shared" si="44"/>
        <v>0</v>
      </c>
      <c r="S61" s="2"/>
      <c r="T61" s="6">
        <v>600</v>
      </c>
      <c r="U61" s="2"/>
      <c r="V61" s="7">
        <f t="shared" si="45"/>
        <v>0</v>
      </c>
      <c r="W61" s="2"/>
      <c r="X61" s="6">
        <f t="shared" si="46"/>
        <v>8906.24</v>
      </c>
      <c r="Y61" s="2"/>
      <c r="Z61" s="7">
        <f t="shared" si="47"/>
        <v>14.843733333333333</v>
      </c>
    </row>
    <row r="62" spans="1:26" s="28" customFormat="1" outlineLevel="1" collapsed="1" x14ac:dyDescent="0.3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SUM(OSRRefD22_11x_0)</f>
        <v>682</v>
      </c>
      <c r="E62" s="1"/>
      <c r="F62" s="5">
        <f t="shared" si="40"/>
        <v>0</v>
      </c>
      <c r="G62" s="1"/>
      <c r="H62" s="1">
        <f>SUM(OSRRefH22_11x_0)</f>
        <v>200</v>
      </c>
      <c r="I62" s="1"/>
      <c r="J62" s="5">
        <f t="shared" si="41"/>
        <v>0</v>
      </c>
      <c r="K62" s="1"/>
      <c r="L62" s="1">
        <f t="shared" si="42"/>
        <v>482</v>
      </c>
      <c r="M62" s="1"/>
      <c r="N62" s="5">
        <f t="shared" si="43"/>
        <v>2.41</v>
      </c>
      <c r="O62" s="14"/>
      <c r="P62" s="1">
        <f>SUM(OSRRefP22_11x_0)</f>
        <v>2556.75</v>
      </c>
      <c r="Q62" s="1"/>
      <c r="R62" s="5">
        <f t="shared" si="44"/>
        <v>0</v>
      </c>
      <c r="S62" s="1"/>
      <c r="T62" s="1">
        <f>SUM(OSRRefT22_11x_0)</f>
        <v>1200</v>
      </c>
      <c r="U62" s="1"/>
      <c r="V62" s="5">
        <f t="shared" si="45"/>
        <v>0</v>
      </c>
      <c r="W62" s="1"/>
      <c r="X62" s="1">
        <f t="shared" si="46"/>
        <v>1356.75</v>
      </c>
      <c r="Y62" s="1"/>
      <c r="Z62" s="5">
        <f t="shared" si="47"/>
        <v>1.130625</v>
      </c>
    </row>
    <row r="63" spans="1:26" s="24" customFormat="1" hidden="1" outlineLevel="2" x14ac:dyDescent="0.3">
      <c r="A63" s="29"/>
      <c r="B63" s="11" t="str">
        <f>CONCATENATE("          ", "6279", " - ", "GENERAL EXPENSE")</f>
        <v xml:space="preserve">          6279 - GENERAL EXPENSE</v>
      </c>
      <c r="C63" s="11"/>
      <c r="D63" s="6">
        <v>682</v>
      </c>
      <c r="E63" s="2"/>
      <c r="F63" s="7">
        <f t="shared" si="40"/>
        <v>0</v>
      </c>
      <c r="G63" s="2"/>
      <c r="H63" s="6">
        <v>200</v>
      </c>
      <c r="I63" s="2"/>
      <c r="J63" s="7">
        <f t="shared" si="41"/>
        <v>0</v>
      </c>
      <c r="K63" s="2"/>
      <c r="L63" s="6">
        <f t="shared" si="42"/>
        <v>482</v>
      </c>
      <c r="M63" s="2"/>
      <c r="N63" s="7">
        <f t="shared" si="43"/>
        <v>2.41</v>
      </c>
      <c r="O63" s="11"/>
      <c r="P63" s="6">
        <v>2556.75</v>
      </c>
      <c r="Q63" s="2"/>
      <c r="R63" s="7">
        <f t="shared" si="44"/>
        <v>0</v>
      </c>
      <c r="S63" s="2"/>
      <c r="T63" s="6">
        <v>1200</v>
      </c>
      <c r="U63" s="2"/>
      <c r="V63" s="7">
        <f t="shared" si="45"/>
        <v>0</v>
      </c>
      <c r="W63" s="2"/>
      <c r="X63" s="6">
        <f t="shared" si="46"/>
        <v>1356.75</v>
      </c>
      <c r="Y63" s="2"/>
      <c r="Z63" s="7">
        <f t="shared" si="47"/>
        <v>1.130625</v>
      </c>
    </row>
    <row r="64" spans="1:26" s="28" customFormat="1" outlineLevel="1" collapsed="1" x14ac:dyDescent="0.3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SUM(OSRRefD22_12x_0)</f>
        <v>5275.49</v>
      </c>
      <c r="E64" s="1"/>
      <c r="F64" s="5">
        <f t="shared" si="40"/>
        <v>0</v>
      </c>
      <c r="G64" s="1"/>
      <c r="H64" s="1">
        <f>SUM(OSRRefH22_12x_0)</f>
        <v>5200</v>
      </c>
      <c r="I64" s="1"/>
      <c r="J64" s="5">
        <f t="shared" si="41"/>
        <v>0</v>
      </c>
      <c r="K64" s="1"/>
      <c r="L64" s="1">
        <f t="shared" si="42"/>
        <v>75.489999999999782</v>
      </c>
      <c r="M64" s="1"/>
      <c r="N64" s="5">
        <f t="shared" si="43"/>
        <v>1.4517307692307651E-2</v>
      </c>
      <c r="O64" s="14"/>
      <c r="P64" s="1">
        <f>SUM(OSRRefP22_12x_0)</f>
        <v>31652.94</v>
      </c>
      <c r="Q64" s="1"/>
      <c r="R64" s="5">
        <f t="shared" si="44"/>
        <v>0</v>
      </c>
      <c r="S64" s="1"/>
      <c r="T64" s="1">
        <f>SUM(OSRRefT22_12x_0)</f>
        <v>31200</v>
      </c>
      <c r="U64" s="1"/>
      <c r="V64" s="5">
        <f t="shared" si="45"/>
        <v>0</v>
      </c>
      <c r="W64" s="1"/>
      <c r="X64" s="1">
        <f t="shared" si="46"/>
        <v>452.93999999999869</v>
      </c>
      <c r="Y64" s="1"/>
      <c r="Z64" s="5">
        <f t="shared" si="47"/>
        <v>1.4517307692307651E-2</v>
      </c>
    </row>
    <row r="65" spans="1:26" s="24" customFormat="1" hidden="1" outlineLevel="2" x14ac:dyDescent="0.3">
      <c r="A65" s="29"/>
      <c r="B65" s="11" t="str">
        <f>CONCATENATE("          ", "6314", " - ", "LIABILITY INSURANCE")</f>
        <v xml:space="preserve">          6314 - LIABILITY INSURANCE</v>
      </c>
      <c r="C65" s="11"/>
      <c r="D65" s="6">
        <v>5275.49</v>
      </c>
      <c r="E65" s="2"/>
      <c r="F65" s="7">
        <f t="shared" si="40"/>
        <v>0</v>
      </c>
      <c r="G65" s="2"/>
      <c r="H65" s="6">
        <v>5200</v>
      </c>
      <c r="I65" s="2"/>
      <c r="J65" s="7">
        <f t="shared" si="41"/>
        <v>0</v>
      </c>
      <c r="K65" s="2"/>
      <c r="L65" s="6">
        <f t="shared" si="42"/>
        <v>75.489999999999782</v>
      </c>
      <c r="M65" s="2"/>
      <c r="N65" s="7">
        <f t="shared" si="43"/>
        <v>1.4517307692307651E-2</v>
      </c>
      <c r="O65" s="11"/>
      <c r="P65" s="6">
        <v>31652.94</v>
      </c>
      <c r="Q65" s="2"/>
      <c r="R65" s="7">
        <f t="shared" si="44"/>
        <v>0</v>
      </c>
      <c r="S65" s="2"/>
      <c r="T65" s="6">
        <v>31200</v>
      </c>
      <c r="U65" s="2"/>
      <c r="V65" s="7">
        <f t="shared" si="45"/>
        <v>0</v>
      </c>
      <c r="W65" s="2"/>
      <c r="X65" s="6">
        <f t="shared" si="46"/>
        <v>452.93999999999869</v>
      </c>
      <c r="Y65" s="2"/>
      <c r="Z65" s="7">
        <f t="shared" si="47"/>
        <v>1.4517307692307651E-2</v>
      </c>
    </row>
    <row r="66" spans="1:26" s="28" customFormat="1" outlineLevel="1" collapsed="1" x14ac:dyDescent="0.3">
      <c r="A66" s="27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SUM(OSRRefD22_13x_0)</f>
        <v>0</v>
      </c>
      <c r="E66" s="1"/>
      <c r="F66" s="5">
        <f t="shared" si="40"/>
        <v>0</v>
      </c>
      <c r="G66" s="1"/>
      <c r="H66" s="1">
        <f>SUM(OSRRefH22_13x_0)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4"/>
      <c r="P66" s="1">
        <f>SUM(OSRRefP22_13x_0)</f>
        <v>7517.43</v>
      </c>
      <c r="Q66" s="1"/>
      <c r="R66" s="5">
        <f t="shared" si="44"/>
        <v>0</v>
      </c>
      <c r="S66" s="1"/>
      <c r="T66" s="1">
        <f>SUM(OSRRefT22_13x_0)</f>
        <v>0</v>
      </c>
      <c r="U66" s="1"/>
      <c r="V66" s="5">
        <f t="shared" si="45"/>
        <v>0</v>
      </c>
      <c r="W66" s="1"/>
      <c r="X66" s="1">
        <f t="shared" si="46"/>
        <v>7517.43</v>
      </c>
      <c r="Y66" s="1"/>
      <c r="Z66" s="5">
        <f t="shared" si="47"/>
        <v>0</v>
      </c>
    </row>
    <row r="67" spans="1:26" s="24" customFormat="1" hidden="1" outlineLevel="2" x14ac:dyDescent="0.3">
      <c r="A67" s="29"/>
      <c r="B67" s="11" t="str">
        <f>CONCATENATE("          ", "6336", " - ", "PROFESSIONAL SERVICES")</f>
        <v xml:space="preserve">          6336 - PROFESSIONAL SERVICES</v>
      </c>
      <c r="C67" s="11"/>
      <c r="D67" s="6"/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>
        <v>7517.43</v>
      </c>
      <c r="Q67" s="2"/>
      <c r="R67" s="7">
        <f t="shared" si="44"/>
        <v>0</v>
      </c>
      <c r="S67" s="2"/>
      <c r="T67" s="6"/>
      <c r="U67" s="2"/>
      <c r="V67" s="7">
        <f t="shared" si="45"/>
        <v>0</v>
      </c>
      <c r="W67" s="2"/>
      <c r="X67" s="6">
        <f t="shared" si="46"/>
        <v>7517.43</v>
      </c>
      <c r="Y67" s="2"/>
      <c r="Z67" s="7">
        <f t="shared" si="47"/>
        <v>0</v>
      </c>
    </row>
    <row r="68" spans="1:26" s="28" customFormat="1" outlineLevel="1" collapsed="1" x14ac:dyDescent="0.3">
      <c r="A68" s="27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SUM(OSRRefD22_14x_0)</f>
        <v>-800</v>
      </c>
      <c r="E68" s="1"/>
      <c r="F68" s="5">
        <f t="shared" si="40"/>
        <v>0</v>
      </c>
      <c r="G68" s="1"/>
      <c r="H68" s="1">
        <f>SUM(OSRRefH22_14x_0)</f>
        <v>-800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4"/>
      <c r="P68" s="1">
        <f>SUM(OSRRefP22_14x_0)</f>
        <v>-4800</v>
      </c>
      <c r="Q68" s="1"/>
      <c r="R68" s="5">
        <f t="shared" si="44"/>
        <v>0</v>
      </c>
      <c r="S68" s="1"/>
      <c r="T68" s="1">
        <f>SUM(OSRRefT22_14x_0)</f>
        <v>-4800</v>
      </c>
      <c r="U68" s="1"/>
      <c r="V68" s="5">
        <f t="shared" si="45"/>
        <v>0</v>
      </c>
      <c r="W68" s="1"/>
      <c r="X68" s="1">
        <f t="shared" si="46"/>
        <v>0</v>
      </c>
      <c r="Y68" s="1"/>
      <c r="Z68" s="5">
        <f t="shared" si="47"/>
        <v>0</v>
      </c>
    </row>
    <row r="69" spans="1:26" s="24" customFormat="1" hidden="1" outlineLevel="2" x14ac:dyDescent="0.3">
      <c r="A69" s="29"/>
      <c r="B69" s="11" t="str">
        <f>CONCATENATE("          ", "6273", " - ", "RENT")</f>
        <v xml:space="preserve">          6273 - RENT</v>
      </c>
      <c r="C69" s="11"/>
      <c r="D69" s="6">
        <v>-800</v>
      </c>
      <c r="E69" s="2"/>
      <c r="F69" s="7">
        <f t="shared" si="40"/>
        <v>0</v>
      </c>
      <c r="G69" s="2"/>
      <c r="H69" s="6">
        <v>-800</v>
      </c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-4800</v>
      </c>
      <c r="Q69" s="2"/>
      <c r="R69" s="7">
        <f t="shared" si="44"/>
        <v>0</v>
      </c>
      <c r="S69" s="2"/>
      <c r="T69" s="6">
        <v>-4800</v>
      </c>
      <c r="U69" s="2"/>
      <c r="V69" s="7">
        <f t="shared" si="45"/>
        <v>0</v>
      </c>
      <c r="W69" s="2"/>
      <c r="X69" s="6">
        <f t="shared" si="46"/>
        <v>0</v>
      </c>
      <c r="Y69" s="2"/>
      <c r="Z69" s="7">
        <f t="shared" si="47"/>
        <v>0</v>
      </c>
    </row>
    <row r="70" spans="1:26" s="28" customFormat="1" outlineLevel="1" collapsed="1" x14ac:dyDescent="0.3">
      <c r="A70" s="27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SUM(OSRRefD22_15x_0)</f>
        <v>4199.7700000000004</v>
      </c>
      <c r="E70" s="1"/>
      <c r="F70" s="5">
        <f t="shared" si="40"/>
        <v>0</v>
      </c>
      <c r="G70" s="1"/>
      <c r="H70" s="1">
        <f>SUM(OSRRefH22_15x_0)</f>
        <v>4950</v>
      </c>
      <c r="I70" s="1"/>
      <c r="J70" s="5">
        <f t="shared" si="41"/>
        <v>0</v>
      </c>
      <c r="K70" s="1"/>
      <c r="L70" s="1">
        <f t="shared" si="42"/>
        <v>-750.22999999999956</v>
      </c>
      <c r="M70" s="1"/>
      <c r="N70" s="5">
        <f t="shared" si="43"/>
        <v>-0.15156161616161606</v>
      </c>
      <c r="O70" s="14"/>
      <c r="P70" s="1">
        <f>SUM(OSRRefP22_15x_0)</f>
        <v>75355.490000000005</v>
      </c>
      <c r="Q70" s="1"/>
      <c r="R70" s="5">
        <f t="shared" si="44"/>
        <v>0</v>
      </c>
      <c r="S70" s="1"/>
      <c r="T70" s="1">
        <f>SUM(OSRRefT22_15x_0)</f>
        <v>65320</v>
      </c>
      <c r="U70" s="1"/>
      <c r="V70" s="5">
        <f t="shared" si="45"/>
        <v>0</v>
      </c>
      <c r="W70" s="1"/>
      <c r="X70" s="1">
        <f t="shared" si="46"/>
        <v>10035.490000000005</v>
      </c>
      <c r="Y70" s="1"/>
      <c r="Z70" s="5">
        <f t="shared" si="47"/>
        <v>0.15363579301898356</v>
      </c>
    </row>
    <row r="71" spans="1:26" s="24" customFormat="1" hidden="1" outlineLevel="2" x14ac:dyDescent="0.3">
      <c r="A71" s="29"/>
      <c r="B71" s="11" t="str">
        <f>CONCATENATE("          ", "6371", " - ", "COMPUTER SOFTWARE MAINTENANCE")</f>
        <v xml:space="preserve">          6371 - COMPUTER SOFTWARE MAINTENANCE</v>
      </c>
      <c r="C71" s="11"/>
      <c r="D71" s="6"/>
      <c r="E71" s="2"/>
      <c r="F71" s="7">
        <f t="shared" si="40"/>
        <v>0</v>
      </c>
      <c r="G71" s="2"/>
      <c r="H71" s="6">
        <v>1000</v>
      </c>
      <c r="I71" s="2"/>
      <c r="J71" s="7">
        <f t="shared" si="41"/>
        <v>0</v>
      </c>
      <c r="K71" s="2"/>
      <c r="L71" s="6">
        <f t="shared" si="42"/>
        <v>-1000</v>
      </c>
      <c r="M71" s="2"/>
      <c r="N71" s="7">
        <f t="shared" si="43"/>
        <v>-1</v>
      </c>
      <c r="O71" s="11"/>
      <c r="P71" s="6">
        <v>56736</v>
      </c>
      <c r="Q71" s="2"/>
      <c r="R71" s="7">
        <f t="shared" si="44"/>
        <v>0</v>
      </c>
      <c r="S71" s="2"/>
      <c r="T71" s="6">
        <v>45000</v>
      </c>
      <c r="U71" s="2"/>
      <c r="V71" s="7">
        <f t="shared" si="45"/>
        <v>0</v>
      </c>
      <c r="W71" s="2"/>
      <c r="X71" s="6">
        <f t="shared" si="46"/>
        <v>11736</v>
      </c>
      <c r="Y71" s="2"/>
      <c r="Z71" s="7">
        <f t="shared" si="47"/>
        <v>0.26079999999999998</v>
      </c>
    </row>
    <row r="72" spans="1:26" s="24" customFormat="1" hidden="1" outlineLevel="2" x14ac:dyDescent="0.3">
      <c r="A72" s="29"/>
      <c r="B72" s="11" t="str">
        <f>CONCATENATE("          ", "6372", " - ", "COMPUTER HARDWARE MAINTENANCE")</f>
        <v xml:space="preserve">          6372 - COMPUTER HARDWARE MAINTENANCE</v>
      </c>
      <c r="C72" s="11"/>
      <c r="D72" s="6"/>
      <c r="E72" s="2"/>
      <c r="F72" s="7">
        <f t="shared" si="40"/>
        <v>0</v>
      </c>
      <c r="G72" s="2"/>
      <c r="H72" s="6">
        <v>3750</v>
      </c>
      <c r="I72" s="2"/>
      <c r="J72" s="7">
        <f t="shared" si="41"/>
        <v>0</v>
      </c>
      <c r="K72" s="2"/>
      <c r="L72" s="6">
        <f t="shared" si="42"/>
        <v>-3750</v>
      </c>
      <c r="M72" s="2"/>
      <c r="N72" s="7">
        <f t="shared" si="43"/>
        <v>-1</v>
      </c>
      <c r="O72" s="11"/>
      <c r="P72" s="6"/>
      <c r="Q72" s="2"/>
      <c r="R72" s="7">
        <f t="shared" si="44"/>
        <v>0</v>
      </c>
      <c r="S72" s="2"/>
      <c r="T72" s="6">
        <v>19120</v>
      </c>
      <c r="U72" s="2"/>
      <c r="V72" s="7">
        <f t="shared" si="45"/>
        <v>0</v>
      </c>
      <c r="W72" s="2"/>
      <c r="X72" s="6">
        <f t="shared" si="46"/>
        <v>-19120</v>
      </c>
      <c r="Y72" s="2"/>
      <c r="Z72" s="7">
        <f t="shared" si="47"/>
        <v>-1</v>
      </c>
    </row>
    <row r="73" spans="1:26" s="24" customFormat="1" hidden="1" outlineLevel="2" x14ac:dyDescent="0.3">
      <c r="A73" s="29"/>
      <c r="B73" s="11" t="str">
        <f>CONCATENATE("          ", "6373", " - ", "MAINTENANCE CONTRACTS")</f>
        <v xml:space="preserve">          6373 - MAINTENANCE CONTRACTS</v>
      </c>
      <c r="C73" s="11"/>
      <c r="D73" s="6">
        <v>1149.83</v>
      </c>
      <c r="E73" s="2"/>
      <c r="F73" s="7">
        <f t="shared" si="40"/>
        <v>0</v>
      </c>
      <c r="G73" s="2"/>
      <c r="H73" s="6">
        <v>200</v>
      </c>
      <c r="I73" s="2"/>
      <c r="J73" s="7">
        <f t="shared" si="41"/>
        <v>0</v>
      </c>
      <c r="K73" s="2"/>
      <c r="L73" s="6">
        <f t="shared" si="42"/>
        <v>949.82999999999993</v>
      </c>
      <c r="M73" s="2"/>
      <c r="N73" s="7">
        <f t="shared" si="43"/>
        <v>4.7491499999999993</v>
      </c>
      <c r="O73" s="11"/>
      <c r="P73" s="6">
        <v>8388.27</v>
      </c>
      <c r="Q73" s="2"/>
      <c r="R73" s="7">
        <f t="shared" si="44"/>
        <v>0</v>
      </c>
      <c r="S73" s="2"/>
      <c r="T73" s="6">
        <v>1200</v>
      </c>
      <c r="U73" s="2"/>
      <c r="V73" s="7">
        <f t="shared" si="45"/>
        <v>0</v>
      </c>
      <c r="W73" s="2"/>
      <c r="X73" s="6">
        <f t="shared" si="46"/>
        <v>7188.27</v>
      </c>
      <c r="Y73" s="2"/>
      <c r="Z73" s="7">
        <f t="shared" si="47"/>
        <v>5.9902250000000006</v>
      </c>
    </row>
    <row r="74" spans="1:26" s="24" customFormat="1" hidden="1" outlineLevel="2" x14ac:dyDescent="0.3">
      <c r="A74" s="29"/>
      <c r="B74" s="11" t="str">
        <f>CONCATENATE("          ", "6375", " - ", "OUTSIDE REPAIRS &amp; MAINTENANCE")</f>
        <v xml:space="preserve">          6375 - OUTSIDE REPAIRS &amp; MAINTENANCE</v>
      </c>
      <c r="C74" s="11"/>
      <c r="D74" s="6">
        <v>3049.94</v>
      </c>
      <c r="E74" s="2"/>
      <c r="F74" s="7">
        <f t="shared" si="40"/>
        <v>0</v>
      </c>
      <c r="G74" s="2"/>
      <c r="H74" s="6"/>
      <c r="I74" s="2"/>
      <c r="J74" s="7">
        <f t="shared" si="41"/>
        <v>0</v>
      </c>
      <c r="K74" s="2"/>
      <c r="L74" s="6">
        <f t="shared" si="42"/>
        <v>3049.94</v>
      </c>
      <c r="M74" s="2"/>
      <c r="N74" s="7">
        <f t="shared" si="43"/>
        <v>0</v>
      </c>
      <c r="O74" s="11"/>
      <c r="P74" s="6">
        <v>10231.219999999999</v>
      </c>
      <c r="Q74" s="2"/>
      <c r="R74" s="7">
        <f t="shared" si="44"/>
        <v>0</v>
      </c>
      <c r="S74" s="2"/>
      <c r="T74" s="6"/>
      <c r="U74" s="2"/>
      <c r="V74" s="7">
        <f t="shared" si="45"/>
        <v>0</v>
      </c>
      <c r="W74" s="2"/>
      <c r="X74" s="6">
        <f t="shared" si="46"/>
        <v>10231.219999999999</v>
      </c>
      <c r="Y74" s="2"/>
      <c r="Z74" s="7">
        <f t="shared" si="47"/>
        <v>0</v>
      </c>
    </row>
    <row r="75" spans="1:26" s="28" customFormat="1" outlineLevel="1" collapsed="1" x14ac:dyDescent="0.3">
      <c r="A75" s="27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SUM(OSRRefD22_16x_0)</f>
        <v>4326.1499999999996</v>
      </c>
      <c r="E75" s="1"/>
      <c r="F75" s="5">
        <f t="shared" ref="F75:F77" si="48">IF(D$12=0,0,D75/D$12)</f>
        <v>0</v>
      </c>
      <c r="G75" s="1"/>
      <c r="H75" s="1">
        <f>SUM(OSRRefH22_16x_0)</f>
        <v>4300</v>
      </c>
      <c r="I75" s="1"/>
      <c r="J75" s="5">
        <f t="shared" ref="J75:J77" si="49">IF(H$12=0,0,H75/H$12)</f>
        <v>0</v>
      </c>
      <c r="K75" s="1"/>
      <c r="L75" s="1">
        <f t="shared" ref="L75:L77" si="50">+D75-H75</f>
        <v>26.149999999999636</v>
      </c>
      <c r="M75" s="1"/>
      <c r="N75" s="5">
        <f t="shared" ref="N75:N77" si="51">IF(H75=0,0,L75/H75)</f>
        <v>6.0813953488371248E-3</v>
      </c>
      <c r="O75" s="14"/>
      <c r="P75" s="1">
        <f>SUM(OSRRefP22_16x_0)</f>
        <v>31319.82</v>
      </c>
      <c r="Q75" s="1"/>
      <c r="R75" s="5">
        <f t="shared" ref="R75:R77" si="52">IF(P$12=0,0,P75/P$12)</f>
        <v>0</v>
      </c>
      <c r="S75" s="1"/>
      <c r="T75" s="1">
        <f>SUM(OSRRefT22_16x_0)</f>
        <v>25800</v>
      </c>
      <c r="U75" s="1"/>
      <c r="V75" s="5">
        <f t="shared" ref="V75:V77" si="53">IF(T$12=0,0,T75/T$12)</f>
        <v>0</v>
      </c>
      <c r="W75" s="1"/>
      <c r="X75" s="1">
        <f t="shared" ref="X75:X77" si="54">+P75-T75</f>
        <v>5519.82</v>
      </c>
      <c r="Y75" s="1"/>
      <c r="Z75" s="5">
        <f t="shared" ref="Z75:Z77" si="55">IF(T75=0,0,X75/T75)</f>
        <v>0.21394651162790695</v>
      </c>
    </row>
    <row r="76" spans="1:26" s="24" customFormat="1" hidden="1" outlineLevel="2" x14ac:dyDescent="0.3">
      <c r="A76" s="29"/>
      <c r="B76" s="11" t="str">
        <f>CONCATENATE("          ", "6282", " - ", "JANITORIAL/EXTERMINATOR EXPENS")</f>
        <v xml:space="preserve">          6282 - JANITORIAL/EXTERMINATOR EXPENS</v>
      </c>
      <c r="C76" s="11"/>
      <c r="D76" s="6">
        <v>129</v>
      </c>
      <c r="E76" s="2"/>
      <c r="F76" s="7">
        <f t="shared" si="48"/>
        <v>0</v>
      </c>
      <c r="G76" s="2"/>
      <c r="H76" s="6">
        <v>4300</v>
      </c>
      <c r="I76" s="2"/>
      <c r="J76" s="7">
        <f t="shared" si="49"/>
        <v>0</v>
      </c>
      <c r="K76" s="2"/>
      <c r="L76" s="6">
        <f t="shared" si="50"/>
        <v>-4171</v>
      </c>
      <c r="M76" s="2"/>
      <c r="N76" s="7">
        <f t="shared" si="51"/>
        <v>-0.97</v>
      </c>
      <c r="O76" s="11"/>
      <c r="P76" s="6">
        <v>1495.08</v>
      </c>
      <c r="Q76" s="2"/>
      <c r="R76" s="7">
        <f t="shared" si="52"/>
        <v>0</v>
      </c>
      <c r="S76" s="2"/>
      <c r="T76" s="6">
        <v>25800</v>
      </c>
      <c r="U76" s="2"/>
      <c r="V76" s="7">
        <f t="shared" si="53"/>
        <v>0</v>
      </c>
      <c r="W76" s="2"/>
      <c r="X76" s="6">
        <f t="shared" si="54"/>
        <v>-24304.92</v>
      </c>
      <c r="Y76" s="2"/>
      <c r="Z76" s="7">
        <f t="shared" si="55"/>
        <v>-0.94205116279069756</v>
      </c>
    </row>
    <row r="77" spans="1:26" s="24" customFormat="1" hidden="1" outlineLevel="2" x14ac:dyDescent="0.3">
      <c r="A77" s="29"/>
      <c r="B77" s="11" t="str">
        <f>CONCATENATE("          ", "6285", " - ", "JANITORIAL SERVICES")</f>
        <v xml:space="preserve">          6285 - JANITORIAL SERVICES</v>
      </c>
      <c r="C77" s="11"/>
      <c r="D77" s="6">
        <v>4197.1499999999996</v>
      </c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4197.1499999999996</v>
      </c>
      <c r="M77" s="2"/>
      <c r="N77" s="7">
        <f t="shared" si="51"/>
        <v>0</v>
      </c>
      <c r="O77" s="11"/>
      <c r="P77" s="6">
        <v>29824.74</v>
      </c>
      <c r="Q77" s="2"/>
      <c r="R77" s="7">
        <f t="shared" si="52"/>
        <v>0</v>
      </c>
      <c r="S77" s="2"/>
      <c r="T77" s="6"/>
      <c r="U77" s="2"/>
      <c r="V77" s="7">
        <f t="shared" si="53"/>
        <v>0</v>
      </c>
      <c r="W77" s="2"/>
      <c r="X77" s="6">
        <f t="shared" si="54"/>
        <v>29824.74</v>
      </c>
      <c r="Y77" s="2"/>
      <c r="Z77" s="7">
        <f t="shared" si="55"/>
        <v>0</v>
      </c>
    </row>
    <row r="78" spans="1:26" s="28" customFormat="1" outlineLevel="1" collapsed="1" x14ac:dyDescent="0.3">
      <c r="A78" s="27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SUM(OSRRefD22_17x_0)</f>
        <v>0</v>
      </c>
      <c r="E78" s="1"/>
      <c r="F78" s="5">
        <f t="shared" ref="F78:F86" si="56">IF(D$12=0,0,D78/D$12)</f>
        <v>0</v>
      </c>
      <c r="G78" s="1"/>
      <c r="H78" s="1">
        <f>SUM(OSRRefH22_17x_0)</f>
        <v>1000</v>
      </c>
      <c r="I78" s="1"/>
      <c r="J78" s="5">
        <f t="shared" ref="J78:J86" si="57">IF(H$12=0,0,H78/H$12)</f>
        <v>0</v>
      </c>
      <c r="K78" s="1"/>
      <c r="L78" s="1">
        <f t="shared" ref="L78:L86" si="58">+D78-H78</f>
        <v>-1000</v>
      </c>
      <c r="M78" s="1"/>
      <c r="N78" s="5">
        <f t="shared" ref="N78:N86" si="59">IF(H78=0,0,L78/H78)</f>
        <v>-1</v>
      </c>
      <c r="O78" s="14"/>
      <c r="P78" s="1">
        <f>SUM(OSRRefP22_17x_0)</f>
        <v>-120</v>
      </c>
      <c r="Q78" s="1"/>
      <c r="R78" s="5">
        <f t="shared" ref="R78:R86" si="60">IF(P$12=0,0,P78/P$12)</f>
        <v>0</v>
      </c>
      <c r="S78" s="1"/>
      <c r="T78" s="1">
        <f>SUM(OSRRefT22_17x_0)</f>
        <v>3000</v>
      </c>
      <c r="U78" s="1"/>
      <c r="V78" s="5">
        <f t="shared" ref="V78:V86" si="61">IF(T$12=0,0,T78/T$12)</f>
        <v>0</v>
      </c>
      <c r="W78" s="1"/>
      <c r="X78" s="1">
        <f t="shared" ref="X78:X86" si="62">+P78-T78</f>
        <v>-3120</v>
      </c>
      <c r="Y78" s="1"/>
      <c r="Z78" s="5">
        <f t="shared" ref="Z78:Z86" si="63">IF(T78=0,0,X78/T78)</f>
        <v>-1.04</v>
      </c>
    </row>
    <row r="79" spans="1:26" s="24" customFormat="1" hidden="1" outlineLevel="2" x14ac:dyDescent="0.3">
      <c r="A79" s="29"/>
      <c r="B79" s="11" t="str">
        <f>CONCATENATE("          ", "6258", " - ", "MEMBERSHIP DUES")</f>
        <v xml:space="preserve">          6258 - MEMBERSHIP DUES</v>
      </c>
      <c r="C79" s="11"/>
      <c r="D79" s="6"/>
      <c r="E79" s="2"/>
      <c r="F79" s="7">
        <f t="shared" si="56"/>
        <v>0</v>
      </c>
      <c r="G79" s="2"/>
      <c r="H79" s="6">
        <v>1000</v>
      </c>
      <c r="I79" s="2"/>
      <c r="J79" s="7">
        <f t="shared" si="57"/>
        <v>0</v>
      </c>
      <c r="K79" s="2"/>
      <c r="L79" s="6">
        <f t="shared" si="58"/>
        <v>-1000</v>
      </c>
      <c r="M79" s="2"/>
      <c r="N79" s="7">
        <f t="shared" si="59"/>
        <v>-1</v>
      </c>
      <c r="O79" s="11"/>
      <c r="P79" s="6">
        <v>-120</v>
      </c>
      <c r="Q79" s="2"/>
      <c r="R79" s="7">
        <f t="shared" si="60"/>
        <v>0</v>
      </c>
      <c r="S79" s="2"/>
      <c r="T79" s="6">
        <v>3000</v>
      </c>
      <c r="U79" s="2"/>
      <c r="V79" s="7">
        <f t="shared" si="61"/>
        <v>0</v>
      </c>
      <c r="W79" s="2"/>
      <c r="X79" s="6">
        <f t="shared" si="62"/>
        <v>-3120</v>
      </c>
      <c r="Y79" s="2"/>
      <c r="Z79" s="7">
        <f t="shared" si="63"/>
        <v>-1.04</v>
      </c>
    </row>
    <row r="80" spans="1:26" s="28" customFormat="1" outlineLevel="1" collapsed="1" x14ac:dyDescent="0.3">
      <c r="A80" s="27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SUM(OSRRefD22_18x_0)</f>
        <v>1557.98</v>
      </c>
      <c r="E80" s="1"/>
      <c r="F80" s="5">
        <f t="shared" si="56"/>
        <v>0</v>
      </c>
      <c r="G80" s="1"/>
      <c r="H80" s="1">
        <f>SUM(OSRRefH22_18x_0)</f>
        <v>5500</v>
      </c>
      <c r="I80" s="1"/>
      <c r="J80" s="5">
        <f t="shared" si="57"/>
        <v>0</v>
      </c>
      <c r="K80" s="1"/>
      <c r="L80" s="1">
        <f t="shared" si="58"/>
        <v>-3942.02</v>
      </c>
      <c r="M80" s="1"/>
      <c r="N80" s="5">
        <f t="shared" si="59"/>
        <v>-0.71673090909090909</v>
      </c>
      <c r="O80" s="14"/>
      <c r="P80" s="1">
        <f>SUM(OSRRefP22_18x_0)</f>
        <v>19484.73</v>
      </c>
      <c r="Q80" s="1"/>
      <c r="R80" s="5">
        <f t="shared" si="60"/>
        <v>0</v>
      </c>
      <c r="S80" s="1"/>
      <c r="T80" s="1">
        <f>SUM(OSRRefT22_18x_0)</f>
        <v>32400</v>
      </c>
      <c r="U80" s="1"/>
      <c r="V80" s="5">
        <f t="shared" si="61"/>
        <v>0</v>
      </c>
      <c r="W80" s="1"/>
      <c r="X80" s="1">
        <f t="shared" si="62"/>
        <v>-12915.27</v>
      </c>
      <c r="Y80" s="1"/>
      <c r="Z80" s="5">
        <f t="shared" si="63"/>
        <v>-0.39861944444444447</v>
      </c>
    </row>
    <row r="81" spans="1:26" s="24" customFormat="1" hidden="1" outlineLevel="2" x14ac:dyDescent="0.3">
      <c r="A81" s="29"/>
      <c r="B81" s="11" t="str">
        <f>CONCATENATE("          ", "6234", " - ", "EXPENDABLE SUPPLIES &amp; EQUIPMEN")</f>
        <v xml:space="preserve">          6234 - EXPENDABLE SUPPLIES &amp; EQUIPMEN</v>
      </c>
      <c r="C81" s="11"/>
      <c r="D81" s="6"/>
      <c r="E81" s="2"/>
      <c r="F81" s="7">
        <f t="shared" si="56"/>
        <v>0</v>
      </c>
      <c r="G81" s="2"/>
      <c r="H81" s="6">
        <v>300</v>
      </c>
      <c r="I81" s="2"/>
      <c r="J81" s="7">
        <f t="shared" si="57"/>
        <v>0</v>
      </c>
      <c r="K81" s="2"/>
      <c r="L81" s="6">
        <f t="shared" si="58"/>
        <v>-300</v>
      </c>
      <c r="M81" s="2"/>
      <c r="N81" s="7">
        <f t="shared" si="59"/>
        <v>-1</v>
      </c>
      <c r="O81" s="11"/>
      <c r="P81" s="6">
        <v>3896.02</v>
      </c>
      <c r="Q81" s="2"/>
      <c r="R81" s="7">
        <f t="shared" si="60"/>
        <v>0</v>
      </c>
      <c r="S81" s="2"/>
      <c r="T81" s="6">
        <v>1200</v>
      </c>
      <c r="U81" s="2"/>
      <c r="V81" s="7">
        <f t="shared" si="61"/>
        <v>0</v>
      </c>
      <c r="W81" s="2"/>
      <c r="X81" s="6">
        <f t="shared" si="62"/>
        <v>2696.02</v>
      </c>
      <c r="Y81" s="2"/>
      <c r="Z81" s="7">
        <f t="shared" si="63"/>
        <v>2.2466833333333334</v>
      </c>
    </row>
    <row r="82" spans="1:26" s="24" customFormat="1" hidden="1" outlineLevel="2" x14ac:dyDescent="0.3">
      <c r="A82" s="29"/>
      <c r="B82" s="11" t="str">
        <f>CONCATENATE("          ", "6235", " - ", "COVID-19 EXPENSES")</f>
        <v xml:space="preserve">          6235 - COVID-19 EXPENSES</v>
      </c>
      <c r="C82" s="11"/>
      <c r="D82" s="6"/>
      <c r="E82" s="2"/>
      <c r="F82" s="7">
        <f t="shared" si="56"/>
        <v>0</v>
      </c>
      <c r="G82" s="2"/>
      <c r="H82" s="6">
        <v>100</v>
      </c>
      <c r="I82" s="2"/>
      <c r="J82" s="7">
        <f t="shared" si="57"/>
        <v>0</v>
      </c>
      <c r="K82" s="2"/>
      <c r="L82" s="6">
        <f t="shared" si="58"/>
        <v>-100</v>
      </c>
      <c r="M82" s="2"/>
      <c r="N82" s="7">
        <f t="shared" si="59"/>
        <v>-1</v>
      </c>
      <c r="O82" s="11"/>
      <c r="P82" s="6">
        <v>3430.32</v>
      </c>
      <c r="Q82" s="2"/>
      <c r="R82" s="7">
        <f t="shared" si="60"/>
        <v>0</v>
      </c>
      <c r="S82" s="2"/>
      <c r="T82" s="6">
        <v>600</v>
      </c>
      <c r="U82" s="2"/>
      <c r="V82" s="7">
        <f t="shared" si="61"/>
        <v>0</v>
      </c>
      <c r="W82" s="2"/>
      <c r="X82" s="6">
        <f t="shared" si="62"/>
        <v>2830.32</v>
      </c>
      <c r="Y82" s="2"/>
      <c r="Z82" s="7">
        <f t="shared" si="63"/>
        <v>4.7172000000000001</v>
      </c>
    </row>
    <row r="83" spans="1:26" s="24" customFormat="1" hidden="1" outlineLevel="2" x14ac:dyDescent="0.3">
      <c r="A83" s="29"/>
      <c r="B83" s="11" t="str">
        <f>CONCATENATE("          ", "6237", " - ", "JANITORIAL SUPPLIES")</f>
        <v xml:space="preserve">          6237 - JANITORIAL SUPPLIES</v>
      </c>
      <c r="C83" s="11"/>
      <c r="D83" s="6"/>
      <c r="E83" s="2"/>
      <c r="F83" s="7">
        <f t="shared" si="56"/>
        <v>0</v>
      </c>
      <c r="G83" s="2"/>
      <c r="H83" s="6"/>
      <c r="I83" s="2"/>
      <c r="J83" s="7">
        <f t="shared" si="57"/>
        <v>0</v>
      </c>
      <c r="K83" s="2"/>
      <c r="L83" s="6">
        <f t="shared" si="58"/>
        <v>0</v>
      </c>
      <c r="M83" s="2"/>
      <c r="N83" s="7">
        <f t="shared" si="59"/>
        <v>0</v>
      </c>
      <c r="O83" s="11"/>
      <c r="P83" s="6">
        <v>3788.97</v>
      </c>
      <c r="Q83" s="2"/>
      <c r="R83" s="7">
        <f t="shared" si="60"/>
        <v>0</v>
      </c>
      <c r="S83" s="2"/>
      <c r="T83" s="6"/>
      <c r="U83" s="2"/>
      <c r="V83" s="7">
        <f t="shared" si="61"/>
        <v>0</v>
      </c>
      <c r="W83" s="2"/>
      <c r="X83" s="6">
        <f t="shared" si="62"/>
        <v>3788.97</v>
      </c>
      <c r="Y83" s="2"/>
      <c r="Z83" s="7">
        <f t="shared" si="63"/>
        <v>0</v>
      </c>
    </row>
    <row r="84" spans="1:26" s="24" customFormat="1" hidden="1" outlineLevel="2" x14ac:dyDescent="0.3">
      <c r="A84" s="29"/>
      <c r="B84" s="11" t="str">
        <f>CONCATENATE("          ", "6241", " - ", "OFFICE EXPENSE")</f>
        <v xml:space="preserve">          6241 - OFFICE EXPENSE</v>
      </c>
      <c r="C84" s="11"/>
      <c r="D84" s="6">
        <v>217.42</v>
      </c>
      <c r="E84" s="2"/>
      <c r="F84" s="7">
        <f t="shared" si="56"/>
        <v>0</v>
      </c>
      <c r="G84" s="2"/>
      <c r="H84" s="6">
        <v>100</v>
      </c>
      <c r="I84" s="2"/>
      <c r="J84" s="7">
        <f t="shared" si="57"/>
        <v>0</v>
      </c>
      <c r="K84" s="2"/>
      <c r="L84" s="6">
        <f t="shared" si="58"/>
        <v>117.41999999999999</v>
      </c>
      <c r="M84" s="2"/>
      <c r="N84" s="7">
        <f t="shared" si="59"/>
        <v>1.1741999999999999</v>
      </c>
      <c r="O84" s="11"/>
      <c r="P84" s="6">
        <v>1044.1500000000001</v>
      </c>
      <c r="Q84" s="2"/>
      <c r="R84" s="7">
        <f t="shared" si="60"/>
        <v>0</v>
      </c>
      <c r="S84" s="2"/>
      <c r="T84" s="6">
        <v>600</v>
      </c>
      <c r="U84" s="2"/>
      <c r="V84" s="7">
        <f t="shared" si="61"/>
        <v>0</v>
      </c>
      <c r="W84" s="2"/>
      <c r="X84" s="6">
        <f t="shared" si="62"/>
        <v>444.15000000000009</v>
      </c>
      <c r="Y84" s="2"/>
      <c r="Z84" s="7">
        <f t="shared" si="63"/>
        <v>0.74025000000000019</v>
      </c>
    </row>
    <row r="85" spans="1:26" s="24" customFormat="1" hidden="1" outlineLevel="2" x14ac:dyDescent="0.3">
      <c r="A85" s="29"/>
      <c r="B85" s="11" t="str">
        <f>CONCATENATE("          ", "6245", " - ", "PRINTING")</f>
        <v xml:space="preserve">          6245 - PRINTING</v>
      </c>
      <c r="C85" s="11"/>
      <c r="D85" s="6">
        <v>209.7</v>
      </c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209.7</v>
      </c>
      <c r="M85" s="2"/>
      <c r="N85" s="7">
        <f t="shared" si="59"/>
        <v>0</v>
      </c>
      <c r="O85" s="11"/>
      <c r="P85" s="6">
        <v>1005.3</v>
      </c>
      <c r="Q85" s="2"/>
      <c r="R85" s="7">
        <f t="shared" si="60"/>
        <v>0</v>
      </c>
      <c r="S85" s="2"/>
      <c r="T85" s="6"/>
      <c r="U85" s="2"/>
      <c r="V85" s="7">
        <f t="shared" si="61"/>
        <v>0</v>
      </c>
      <c r="W85" s="2"/>
      <c r="X85" s="6">
        <f t="shared" si="62"/>
        <v>1005.3</v>
      </c>
      <c r="Y85" s="2"/>
      <c r="Z85" s="7">
        <f t="shared" si="63"/>
        <v>0</v>
      </c>
    </row>
    <row r="86" spans="1:26" s="24" customFormat="1" hidden="1" outlineLevel="2" x14ac:dyDescent="0.3">
      <c r="A86" s="29"/>
      <c r="B86" s="11" t="str">
        <f>CONCATENATE("          ", "6247", " - ", "STORE SUPPLIES")</f>
        <v xml:space="preserve">          6247 - STORE SUPPLIES</v>
      </c>
      <c r="C86" s="11"/>
      <c r="D86" s="6">
        <v>1130.8599999999999</v>
      </c>
      <c r="E86" s="2"/>
      <c r="F86" s="7">
        <f t="shared" si="56"/>
        <v>0</v>
      </c>
      <c r="G86" s="2"/>
      <c r="H86" s="6">
        <v>5000</v>
      </c>
      <c r="I86" s="2"/>
      <c r="J86" s="7">
        <f t="shared" si="57"/>
        <v>0</v>
      </c>
      <c r="K86" s="2"/>
      <c r="L86" s="6">
        <f t="shared" si="58"/>
        <v>-3869.1400000000003</v>
      </c>
      <c r="M86" s="2"/>
      <c r="N86" s="7">
        <f t="shared" si="59"/>
        <v>-0.77382800000000007</v>
      </c>
      <c r="O86" s="11"/>
      <c r="P86" s="6">
        <v>6319.97</v>
      </c>
      <c r="Q86" s="2"/>
      <c r="R86" s="7">
        <f t="shared" si="60"/>
        <v>0</v>
      </c>
      <c r="S86" s="2"/>
      <c r="T86" s="6">
        <v>30000</v>
      </c>
      <c r="U86" s="2"/>
      <c r="V86" s="7">
        <f t="shared" si="61"/>
        <v>0</v>
      </c>
      <c r="W86" s="2"/>
      <c r="X86" s="6">
        <f t="shared" si="62"/>
        <v>-23680.03</v>
      </c>
      <c r="Y86" s="2"/>
      <c r="Z86" s="7">
        <f t="shared" si="63"/>
        <v>-0.78933433333333325</v>
      </c>
    </row>
    <row r="87" spans="1:26" s="28" customFormat="1" outlineLevel="1" collapsed="1" x14ac:dyDescent="0.3">
      <c r="A87" s="27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SUM(OSRRefD22_19x_0)</f>
        <v>590.82000000000005</v>
      </c>
      <c r="E87" s="1"/>
      <c r="F87" s="5">
        <f t="shared" ref="F87:F93" si="64">IF(D$12=0,0,D87/D$12)</f>
        <v>0</v>
      </c>
      <c r="G87" s="1"/>
      <c r="H87" s="1">
        <f>SUM(OSRRefH22_19x_0)</f>
        <v>600</v>
      </c>
      <c r="I87" s="1"/>
      <c r="J87" s="5">
        <f t="shared" ref="J87:J93" si="65">IF(H$12=0,0,H87/H$12)</f>
        <v>0</v>
      </c>
      <c r="K87" s="1"/>
      <c r="L87" s="1">
        <f t="shared" ref="L87:L93" si="66">+D87-H87</f>
        <v>-9.17999999999995</v>
      </c>
      <c r="M87" s="1"/>
      <c r="N87" s="5">
        <f t="shared" ref="N87:N93" si="67">IF(H87=0,0,L87/H87)</f>
        <v>-1.5299999999999916E-2</v>
      </c>
      <c r="O87" s="14"/>
      <c r="P87" s="1">
        <f>SUM(OSRRefP22_19x_0)</f>
        <v>3639.12</v>
      </c>
      <c r="Q87" s="1"/>
      <c r="R87" s="5">
        <f t="shared" ref="R87:R93" si="68">IF(P$12=0,0,P87/P$12)</f>
        <v>0</v>
      </c>
      <c r="S87" s="1"/>
      <c r="T87" s="1">
        <f>SUM(OSRRefT22_19x_0)</f>
        <v>3600</v>
      </c>
      <c r="U87" s="1"/>
      <c r="V87" s="5">
        <f t="shared" ref="V87:V93" si="69">IF(T$12=0,0,T87/T$12)</f>
        <v>0</v>
      </c>
      <c r="W87" s="1"/>
      <c r="X87" s="1">
        <f t="shared" ref="X87:X93" si="70">+P87-T87</f>
        <v>39.119999999999891</v>
      </c>
      <c r="Y87" s="1"/>
      <c r="Z87" s="5">
        <f t="shared" ref="Z87:Z93" si="71">IF(T87=0,0,X87/T87)</f>
        <v>1.0866666666666636E-2</v>
      </c>
    </row>
    <row r="88" spans="1:26" s="24" customFormat="1" hidden="1" outlineLevel="2" x14ac:dyDescent="0.3">
      <c r="A88" s="29"/>
      <c r="B88" s="11" t="str">
        <f>CONCATENATE("          ", "6309", " - ", "TELEPHONE")</f>
        <v xml:space="preserve">          6309 - TELEPHONE</v>
      </c>
      <c r="C88" s="11"/>
      <c r="D88" s="6">
        <v>590.82000000000005</v>
      </c>
      <c r="E88" s="2"/>
      <c r="F88" s="7">
        <f t="shared" si="64"/>
        <v>0</v>
      </c>
      <c r="G88" s="2"/>
      <c r="H88" s="6">
        <v>600</v>
      </c>
      <c r="I88" s="2"/>
      <c r="J88" s="7">
        <f t="shared" si="65"/>
        <v>0</v>
      </c>
      <c r="K88" s="2"/>
      <c r="L88" s="6">
        <f t="shared" si="66"/>
        <v>-9.17999999999995</v>
      </c>
      <c r="M88" s="2"/>
      <c r="N88" s="7">
        <f t="shared" si="67"/>
        <v>-1.5299999999999916E-2</v>
      </c>
      <c r="O88" s="11"/>
      <c r="P88" s="6">
        <v>3639.12</v>
      </c>
      <c r="Q88" s="2"/>
      <c r="R88" s="7">
        <f t="shared" si="68"/>
        <v>0</v>
      </c>
      <c r="S88" s="2"/>
      <c r="T88" s="6">
        <v>3600</v>
      </c>
      <c r="U88" s="2"/>
      <c r="V88" s="7">
        <f t="shared" si="69"/>
        <v>0</v>
      </c>
      <c r="W88" s="2"/>
      <c r="X88" s="6">
        <f t="shared" si="70"/>
        <v>39.119999999999891</v>
      </c>
      <c r="Y88" s="2"/>
      <c r="Z88" s="7">
        <f t="shared" si="71"/>
        <v>1.0866666666666636E-2</v>
      </c>
    </row>
    <row r="89" spans="1:26" s="28" customFormat="1" outlineLevel="1" collapsed="1" x14ac:dyDescent="0.3">
      <c r="A89" s="27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SUM(OSRRefD22_20x_0)</f>
        <v>0</v>
      </c>
      <c r="E89" s="1"/>
      <c r="F89" s="5">
        <f t="shared" si="64"/>
        <v>0</v>
      </c>
      <c r="G89" s="1"/>
      <c r="H89" s="1">
        <f>SUM(OSRRefH22_20x_0)</f>
        <v>0</v>
      </c>
      <c r="I89" s="1"/>
      <c r="J89" s="5">
        <f t="shared" si="65"/>
        <v>0</v>
      </c>
      <c r="K89" s="1"/>
      <c r="L89" s="1">
        <f t="shared" si="66"/>
        <v>0</v>
      </c>
      <c r="M89" s="1"/>
      <c r="N89" s="5">
        <f t="shared" si="67"/>
        <v>0</v>
      </c>
      <c r="O89" s="14"/>
      <c r="P89" s="1">
        <f>SUM(OSRRefP22_20x_0)</f>
        <v>595</v>
      </c>
      <c r="Q89" s="1"/>
      <c r="R89" s="5">
        <f t="shared" si="68"/>
        <v>0</v>
      </c>
      <c r="S89" s="1"/>
      <c r="T89" s="1">
        <f>SUM(OSRRefT22_20x_0)</f>
        <v>0</v>
      </c>
      <c r="U89" s="1"/>
      <c r="V89" s="5">
        <f t="shared" si="69"/>
        <v>0</v>
      </c>
      <c r="W89" s="1"/>
      <c r="X89" s="1">
        <f t="shared" si="70"/>
        <v>595</v>
      </c>
      <c r="Y89" s="1"/>
      <c r="Z89" s="5">
        <f t="shared" si="71"/>
        <v>0</v>
      </c>
    </row>
    <row r="90" spans="1:26" s="24" customFormat="1" hidden="1" outlineLevel="2" x14ac:dyDescent="0.3">
      <c r="A90" s="29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64"/>
        <v>0</v>
      </c>
      <c r="G90" s="2"/>
      <c r="H90" s="6"/>
      <c r="I90" s="2"/>
      <c r="J90" s="7">
        <f t="shared" si="65"/>
        <v>0</v>
      </c>
      <c r="K90" s="2"/>
      <c r="L90" s="6">
        <f t="shared" si="66"/>
        <v>0</v>
      </c>
      <c r="M90" s="2"/>
      <c r="N90" s="7">
        <f t="shared" si="67"/>
        <v>0</v>
      </c>
      <c r="O90" s="11"/>
      <c r="P90" s="6">
        <v>595</v>
      </c>
      <c r="Q90" s="2"/>
      <c r="R90" s="7">
        <f t="shared" si="68"/>
        <v>0</v>
      </c>
      <c r="S90" s="2"/>
      <c r="T90" s="6"/>
      <c r="U90" s="2"/>
      <c r="V90" s="7">
        <f t="shared" si="69"/>
        <v>0</v>
      </c>
      <c r="W90" s="2"/>
      <c r="X90" s="6">
        <f t="shared" si="70"/>
        <v>595</v>
      </c>
      <c r="Y90" s="2"/>
      <c r="Z90" s="7">
        <f t="shared" si="71"/>
        <v>0</v>
      </c>
    </row>
    <row r="91" spans="1:26" s="28" customFormat="1" outlineLevel="1" collapsed="1" x14ac:dyDescent="0.3">
      <c r="A91" s="27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SUM(OSRRefD22_21x_0)</f>
        <v>0</v>
      </c>
      <c r="E91" s="1"/>
      <c r="F91" s="5">
        <f t="shared" si="64"/>
        <v>0</v>
      </c>
      <c r="G91" s="1"/>
      <c r="H91" s="1">
        <f>SUM(OSRRefH22_21x_0)</f>
        <v>125</v>
      </c>
      <c r="I91" s="1"/>
      <c r="J91" s="5">
        <f t="shared" si="65"/>
        <v>0</v>
      </c>
      <c r="K91" s="1"/>
      <c r="L91" s="1">
        <f t="shared" si="66"/>
        <v>-125</v>
      </c>
      <c r="M91" s="1"/>
      <c r="N91" s="5">
        <f t="shared" si="67"/>
        <v>-1</v>
      </c>
      <c r="O91" s="14"/>
      <c r="P91" s="1">
        <f>SUM(OSRRefP22_21x_0)</f>
        <v>642.08000000000004</v>
      </c>
      <c r="Q91" s="1"/>
      <c r="R91" s="5">
        <f t="shared" si="68"/>
        <v>0</v>
      </c>
      <c r="S91" s="1"/>
      <c r="T91" s="1">
        <f>SUM(OSRRefT22_21x_0)</f>
        <v>750</v>
      </c>
      <c r="U91" s="1"/>
      <c r="V91" s="5">
        <f t="shared" si="69"/>
        <v>0</v>
      </c>
      <c r="W91" s="1"/>
      <c r="X91" s="1">
        <f t="shared" si="70"/>
        <v>-107.91999999999996</v>
      </c>
      <c r="Y91" s="1"/>
      <c r="Z91" s="5">
        <f t="shared" si="71"/>
        <v>-0.14389333333333329</v>
      </c>
    </row>
    <row r="92" spans="1:26" s="24" customFormat="1" hidden="1" outlineLevel="2" x14ac:dyDescent="0.3">
      <c r="A92" s="29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64"/>
        <v>0</v>
      </c>
      <c r="G92" s="2"/>
      <c r="H92" s="6">
        <v>125</v>
      </c>
      <c r="I92" s="2"/>
      <c r="J92" s="7">
        <f t="shared" si="65"/>
        <v>0</v>
      </c>
      <c r="K92" s="2"/>
      <c r="L92" s="6">
        <f t="shared" si="66"/>
        <v>-125</v>
      </c>
      <c r="M92" s="2"/>
      <c r="N92" s="7">
        <f t="shared" si="67"/>
        <v>-1</v>
      </c>
      <c r="O92" s="11"/>
      <c r="P92" s="6">
        <v>495</v>
      </c>
      <c r="Q92" s="2"/>
      <c r="R92" s="7">
        <f t="shared" si="68"/>
        <v>0</v>
      </c>
      <c r="S92" s="2"/>
      <c r="T92" s="6">
        <v>750</v>
      </c>
      <c r="U92" s="2"/>
      <c r="V92" s="7">
        <f t="shared" si="69"/>
        <v>0</v>
      </c>
      <c r="W92" s="2"/>
      <c r="X92" s="6">
        <f t="shared" si="70"/>
        <v>-255</v>
      </c>
      <c r="Y92" s="2"/>
      <c r="Z92" s="7">
        <f t="shared" si="71"/>
        <v>-0.34</v>
      </c>
    </row>
    <row r="93" spans="1:26" s="24" customFormat="1" hidden="1" outlineLevel="2" x14ac:dyDescent="0.3">
      <c r="A93" s="29"/>
      <c r="B93" s="11" t="str">
        <f>CONCATENATE("          ", "6298", " - ", "VEHICLE MILEAGE")</f>
        <v xml:space="preserve">          6298 - VEHICLE MILEAGE</v>
      </c>
      <c r="C93" s="11"/>
      <c r="D93" s="6"/>
      <c r="E93" s="2"/>
      <c r="F93" s="7">
        <f t="shared" si="64"/>
        <v>0</v>
      </c>
      <c r="G93" s="2"/>
      <c r="H93" s="6"/>
      <c r="I93" s="2"/>
      <c r="J93" s="7">
        <f t="shared" si="65"/>
        <v>0</v>
      </c>
      <c r="K93" s="2"/>
      <c r="L93" s="6">
        <f t="shared" si="66"/>
        <v>0</v>
      </c>
      <c r="M93" s="2"/>
      <c r="N93" s="7">
        <f t="shared" si="67"/>
        <v>0</v>
      </c>
      <c r="O93" s="11"/>
      <c r="P93" s="6">
        <v>147.08000000000001</v>
      </c>
      <c r="Q93" s="2"/>
      <c r="R93" s="7">
        <f t="shared" si="68"/>
        <v>0</v>
      </c>
      <c r="S93" s="2"/>
      <c r="T93" s="6"/>
      <c r="U93" s="2"/>
      <c r="V93" s="7">
        <f t="shared" si="69"/>
        <v>0</v>
      </c>
      <c r="W93" s="2"/>
      <c r="X93" s="6">
        <f t="shared" si="70"/>
        <v>147.08000000000001</v>
      </c>
      <c r="Y93" s="2"/>
      <c r="Z93" s="7">
        <f t="shared" si="71"/>
        <v>0</v>
      </c>
    </row>
    <row r="94" spans="1:26" s="28" customFormat="1" outlineLevel="1" collapsed="1" x14ac:dyDescent="0.3">
      <c r="A94" s="27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SUM(OSRRefD22_22x_0)</f>
        <v>0</v>
      </c>
      <c r="E94" s="1"/>
      <c r="F94" s="5">
        <f t="shared" ref="F94:F95" si="72">IF(D$12=0,0,D94/D$12)</f>
        <v>0</v>
      </c>
      <c r="G94" s="1"/>
      <c r="H94" s="1">
        <f>SUM(OSRRefH22_22x_0)</f>
        <v>6000</v>
      </c>
      <c r="I94" s="1"/>
      <c r="J94" s="5">
        <f t="shared" ref="J94:J95" si="73">IF(H$12=0,0,H94/H$12)</f>
        <v>0</v>
      </c>
      <c r="K94" s="1"/>
      <c r="L94" s="1">
        <f t="shared" ref="L94:L95" si="74">+D94-H94</f>
        <v>-6000</v>
      </c>
      <c r="M94" s="1"/>
      <c r="N94" s="5">
        <f t="shared" ref="N94:N95" si="75">IF(H94=0,0,L94/H94)</f>
        <v>-1</v>
      </c>
      <c r="O94" s="14"/>
      <c r="P94" s="1">
        <f>SUM(OSRRefP22_22x_0)</f>
        <v>30000</v>
      </c>
      <c r="Q94" s="1"/>
      <c r="R94" s="5">
        <f t="shared" ref="R94:R95" si="76">IF(P$12=0,0,P94/P$12)</f>
        <v>0</v>
      </c>
      <c r="S94" s="1"/>
      <c r="T94" s="1">
        <f>SUM(OSRRefT22_22x_0)</f>
        <v>36000</v>
      </c>
      <c r="U94" s="1"/>
      <c r="V94" s="5">
        <f t="shared" ref="V94:V95" si="77">IF(T$12=0,0,T94/T$12)</f>
        <v>0</v>
      </c>
      <c r="W94" s="1"/>
      <c r="X94" s="1">
        <f t="shared" ref="X94:X95" si="78">+P94-T94</f>
        <v>-6000</v>
      </c>
      <c r="Y94" s="1"/>
      <c r="Z94" s="5">
        <f t="shared" ref="Z94:Z95" si="79">IF(T94=0,0,X94/T94)</f>
        <v>-0.16666666666666666</v>
      </c>
    </row>
    <row r="95" spans="1:26" s="24" customFormat="1" hidden="1" outlineLevel="2" x14ac:dyDescent="0.3">
      <c r="A95" s="29"/>
      <c r="B95" s="11" t="str">
        <f>CONCATENATE("          ", "6274", " - ", "UTILITIES")</f>
        <v xml:space="preserve">          6274 - UTILITIES</v>
      </c>
      <c r="C95" s="11"/>
      <c r="D95" s="6"/>
      <c r="E95" s="2"/>
      <c r="F95" s="7">
        <f t="shared" si="72"/>
        <v>0</v>
      </c>
      <c r="G95" s="2"/>
      <c r="H95" s="6">
        <v>6000</v>
      </c>
      <c r="I95" s="2"/>
      <c r="J95" s="7">
        <f t="shared" si="73"/>
        <v>0</v>
      </c>
      <c r="K95" s="2"/>
      <c r="L95" s="6">
        <f t="shared" si="74"/>
        <v>-6000</v>
      </c>
      <c r="M95" s="2"/>
      <c r="N95" s="7">
        <f t="shared" si="75"/>
        <v>-1</v>
      </c>
      <c r="O95" s="11"/>
      <c r="P95" s="6">
        <v>30000</v>
      </c>
      <c r="Q95" s="2"/>
      <c r="R95" s="7">
        <f t="shared" si="76"/>
        <v>0</v>
      </c>
      <c r="S95" s="2"/>
      <c r="T95" s="6">
        <v>36000</v>
      </c>
      <c r="U95" s="2"/>
      <c r="V95" s="7">
        <f t="shared" si="77"/>
        <v>0</v>
      </c>
      <c r="W95" s="2"/>
      <c r="X95" s="6">
        <f t="shared" si="78"/>
        <v>-6000</v>
      </c>
      <c r="Y95" s="2"/>
      <c r="Z95" s="7">
        <f t="shared" si="79"/>
        <v>-0.16666666666666666</v>
      </c>
    </row>
    <row r="96" spans="1:26" s="55" customFormat="1" x14ac:dyDescent="0.3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3">
      <c r="A97" s="10"/>
      <c r="B97" s="25" t="s">
        <v>293</v>
      </c>
      <c r="C97" s="10"/>
      <c r="D97" s="4">
        <f>SUM(OSRRefD25x_0)</f>
        <v>12449.24</v>
      </c>
      <c r="E97" s="4"/>
      <c r="F97" s="12">
        <f t="shared" ref="F97:F99" si="80">IF(D$12=0,0,D97/D$12)</f>
        <v>0</v>
      </c>
      <c r="G97" s="4"/>
      <c r="H97" s="4">
        <f>SUM(OSRRefH25x_0)</f>
        <v>1200</v>
      </c>
      <c r="I97" s="4"/>
      <c r="J97" s="12">
        <f t="shared" ref="J97:J99" si="81">IF(H$12=0,0,H97/H$12)</f>
        <v>0</v>
      </c>
      <c r="K97" s="4"/>
      <c r="L97" s="4">
        <f t="shared" ref="L97:L99" si="82">+D97-H97</f>
        <v>11249.24</v>
      </c>
      <c r="M97" s="4"/>
      <c r="N97" s="12">
        <f t="shared" ref="N97:N99" si="83">IF(H97=0,0,L97/H97)</f>
        <v>9.374366666666667</v>
      </c>
      <c r="O97" s="10"/>
      <c r="P97" s="4">
        <f>SUM(OSRRefP25x_0)</f>
        <v>144752.88</v>
      </c>
      <c r="Q97" s="4"/>
      <c r="R97" s="12">
        <f t="shared" ref="R97:R99" si="84">IF(P$12=0,0,P97/P$12)</f>
        <v>0</v>
      </c>
      <c r="S97" s="4"/>
      <c r="T97" s="4">
        <f>SUM(OSRRefT25x_0)</f>
        <v>93200</v>
      </c>
      <c r="U97" s="4"/>
      <c r="V97" s="12">
        <f t="shared" ref="V97:V99" si="85">IF(T$12=0,0,T97/T$12)</f>
        <v>0</v>
      </c>
      <c r="W97" s="4"/>
      <c r="X97" s="4">
        <f t="shared" ref="X97:X99" si="86">+P97-T97</f>
        <v>51552.880000000005</v>
      </c>
      <c r="Y97" s="4"/>
      <c r="Z97" s="12">
        <f t="shared" ref="Z97:Z99" si="87">IF(T97=0,0,X97/T97)</f>
        <v>0.55314248927038634</v>
      </c>
    </row>
    <row r="98" spans="1:26" s="24" customFormat="1" hidden="1" outlineLevel="1" x14ac:dyDescent="0.3">
      <c r="A98" s="44"/>
      <c r="B98" s="11" t="str">
        <f>CONCATENATE("          ", "9150", " - ", "MISC. INCOME")</f>
        <v xml:space="preserve">          9150 - MISC. INCOME</v>
      </c>
      <c r="C98" s="11"/>
      <c r="D98" s="2">
        <f>--12449.24</f>
        <v>12449.24</v>
      </c>
      <c r="E98" s="2"/>
      <c r="F98" s="19">
        <f t="shared" si="80"/>
        <v>0</v>
      </c>
      <c r="G98" s="2"/>
      <c r="H98" s="2">
        <v>1200</v>
      </c>
      <c r="I98" s="2"/>
      <c r="J98" s="19">
        <f t="shared" si="81"/>
        <v>0</v>
      </c>
      <c r="K98" s="2"/>
      <c r="L98" s="2">
        <f t="shared" si="82"/>
        <v>11249.24</v>
      </c>
      <c r="M98" s="2"/>
      <c r="N98" s="19">
        <f t="shared" si="83"/>
        <v>9.374366666666667</v>
      </c>
      <c r="O98" s="11"/>
      <c r="P98" s="2">
        <f>--144752.88</f>
        <v>144752.88</v>
      </c>
      <c r="Q98" s="2"/>
      <c r="R98" s="19">
        <f t="shared" si="84"/>
        <v>0</v>
      </c>
      <c r="S98" s="2"/>
      <c r="T98" s="2">
        <v>7200</v>
      </c>
      <c r="U98" s="2"/>
      <c r="V98" s="19">
        <f t="shared" si="85"/>
        <v>0</v>
      </c>
      <c r="W98" s="2"/>
      <c r="X98" s="2">
        <f t="shared" si="86"/>
        <v>137552.88</v>
      </c>
      <c r="Y98" s="2"/>
      <c r="Z98" s="19">
        <f t="shared" si="87"/>
        <v>19.104566666666667</v>
      </c>
    </row>
    <row r="99" spans="1:26" s="24" customFormat="1" hidden="1" outlineLevel="1" x14ac:dyDescent="0.3">
      <c r="A99" s="44"/>
      <c r="B99" s="11" t="str">
        <f>CONCATENATE("          ", "9151", " - ", "MISC. INCOME")</f>
        <v xml:space="preserve">          9151 - MISC. INCOME</v>
      </c>
      <c r="C99" s="11"/>
      <c r="D99" s="2">
        <f>0</f>
        <v>0</v>
      </c>
      <c r="E99" s="2"/>
      <c r="F99" s="19">
        <f t="shared" si="80"/>
        <v>0</v>
      </c>
      <c r="G99" s="2"/>
      <c r="H99" s="2"/>
      <c r="I99" s="2"/>
      <c r="J99" s="19">
        <f t="shared" si="81"/>
        <v>0</v>
      </c>
      <c r="K99" s="2"/>
      <c r="L99" s="2">
        <f t="shared" si="82"/>
        <v>0</v>
      </c>
      <c r="M99" s="2"/>
      <c r="N99" s="19">
        <f t="shared" si="83"/>
        <v>0</v>
      </c>
      <c r="O99" s="11"/>
      <c r="P99" s="2">
        <f>0</f>
        <v>0</v>
      </c>
      <c r="Q99" s="2"/>
      <c r="R99" s="19">
        <f t="shared" si="84"/>
        <v>0</v>
      </c>
      <c r="S99" s="2"/>
      <c r="T99" s="2">
        <v>86000</v>
      </c>
      <c r="U99" s="2"/>
      <c r="V99" s="19">
        <f t="shared" si="85"/>
        <v>0</v>
      </c>
      <c r="W99" s="2"/>
      <c r="X99" s="2">
        <f t="shared" si="86"/>
        <v>-86000</v>
      </c>
      <c r="Y99" s="2"/>
      <c r="Z99" s="19">
        <f t="shared" si="87"/>
        <v>-1</v>
      </c>
    </row>
    <row r="100" spans="1:26" x14ac:dyDescent="0.3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">
      <c r="A101" s="10"/>
      <c r="B101" s="26" t="s">
        <v>277</v>
      </c>
      <c r="C101" s="26"/>
      <c r="D101" s="20">
        <f>+D17-D19+D97</f>
        <v>-104580.87</v>
      </c>
      <c r="E101" s="13"/>
      <c r="F101" s="22">
        <f>IF(D$12=0,0,D101/D$12)</f>
        <v>0</v>
      </c>
      <c r="G101" s="13"/>
      <c r="H101" s="20">
        <f>+H17-H19+H97</f>
        <v>-113286.25099830769</v>
      </c>
      <c r="I101" s="13"/>
      <c r="J101" s="22">
        <f>IF(H$12=0,0,H101/H$12)</f>
        <v>0</v>
      </c>
      <c r="K101" s="16"/>
      <c r="L101" s="20">
        <f>+D101-H101</f>
        <v>8705.3809983076935</v>
      </c>
      <c r="M101" s="16"/>
      <c r="N101" s="22">
        <f>IF(H101=0,0,L101/H101)</f>
        <v>-7.6844108809265274E-2</v>
      </c>
      <c r="O101" s="25"/>
      <c r="P101" s="20">
        <f>+P17-P19+P97</f>
        <v>-717616.1799999997</v>
      </c>
      <c r="Q101" s="13"/>
      <c r="R101" s="22">
        <f>IF(P$12=0,0,P101/P$12)</f>
        <v>0</v>
      </c>
      <c r="S101" s="13"/>
      <c r="T101" s="20">
        <f>+T17-T19+T97</f>
        <v>-710212.17245399999</v>
      </c>
      <c r="U101" s="13"/>
      <c r="V101" s="22">
        <f>IF(T$12=0,0,T101/T$12)</f>
        <v>0</v>
      </c>
      <c r="W101" s="16"/>
      <c r="X101" s="20">
        <f>+P101-T101</f>
        <v>-7404.007545999717</v>
      </c>
      <c r="Y101" s="16"/>
      <c r="Z101" s="22">
        <f>IF(T101=0,0,X101/T101)</f>
        <v>1.042506427398535E-2</v>
      </c>
    </row>
    <row r="102" spans="1:26" x14ac:dyDescent="0.3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3">
      <c r="A103" s="52"/>
      <c r="B103" s="10" t="s">
        <v>128</v>
      </c>
      <c r="C103" s="10"/>
      <c r="D103" s="4"/>
      <c r="E103" s="4"/>
      <c r="F103" s="12">
        <f>IF(D$12=0,0,D103/D$12)</f>
        <v>0</v>
      </c>
      <c r="G103" s="4"/>
      <c r="H103" s="4"/>
      <c r="I103" s="4"/>
      <c r="J103" s="12">
        <f>IF(H$12=0,0,H103/H$12)</f>
        <v>0</v>
      </c>
      <c r="K103" s="4"/>
      <c r="L103" s="4">
        <f>+D103-H103</f>
        <v>0</v>
      </c>
      <c r="M103" s="4"/>
      <c r="N103" s="12">
        <f>IF(H103=0,0,L103/H103)</f>
        <v>0</v>
      </c>
      <c r="O103" s="10"/>
      <c r="P103" s="4"/>
      <c r="Q103" s="4"/>
      <c r="R103" s="12">
        <f>IF(P$12=0,0,P103/P$12)</f>
        <v>0</v>
      </c>
      <c r="S103" s="4"/>
      <c r="T103" s="4"/>
      <c r="U103" s="4"/>
      <c r="V103" s="12">
        <f>IF(T$12=0,0,T103/T$12)</f>
        <v>0</v>
      </c>
      <c r="W103" s="4"/>
      <c r="X103" s="4">
        <f>+P103-T103</f>
        <v>0</v>
      </c>
      <c r="Y103" s="4"/>
      <c r="Z103" s="12">
        <f>IF(T103=0,0,X103/T103)</f>
        <v>0</v>
      </c>
    </row>
    <row r="104" spans="1:26" x14ac:dyDescent="0.3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" thickBot="1" x14ac:dyDescent="0.35">
      <c r="A105" s="10"/>
      <c r="B105" s="26" t="s">
        <v>126</v>
      </c>
      <c r="C105" s="26"/>
      <c r="D105" s="31">
        <f>+D101-D103</f>
        <v>-104580.87</v>
      </c>
      <c r="E105" s="13"/>
      <c r="F105" s="30">
        <f>IF(D$12=0,0,D105/D$12)</f>
        <v>0</v>
      </c>
      <c r="G105" s="13"/>
      <c r="H105" s="31">
        <f>+H101-H103</f>
        <v>-113286.25099830769</v>
      </c>
      <c r="I105" s="13"/>
      <c r="J105" s="30">
        <f>IF(H$12=0,0,H105/H$12)</f>
        <v>0</v>
      </c>
      <c r="K105" s="16"/>
      <c r="L105" s="31">
        <f>D105-H105</f>
        <v>8705.3809983076935</v>
      </c>
      <c r="M105" s="16"/>
      <c r="N105" s="30">
        <f>IF(H105=0,0,L105/H105)</f>
        <v>-7.6844108809265274E-2</v>
      </c>
      <c r="O105" s="25"/>
      <c r="P105" s="31">
        <f>+P101-P103</f>
        <v>-717616.1799999997</v>
      </c>
      <c r="Q105" s="13"/>
      <c r="R105" s="30">
        <f>IF(P$12=0,0,P105/P$12)</f>
        <v>0</v>
      </c>
      <c r="S105" s="13"/>
      <c r="T105" s="31">
        <f>+T101-T103</f>
        <v>-710212.17245399999</v>
      </c>
      <c r="U105" s="13"/>
      <c r="V105" s="30">
        <f>IF(T$12=0,0,T105/T$12)</f>
        <v>0</v>
      </c>
      <c r="W105" s="16"/>
      <c r="X105" s="31">
        <f>P105-T105</f>
        <v>-7404.007545999717</v>
      </c>
      <c r="Y105" s="16"/>
      <c r="Z105" s="30">
        <f>IF(T105=0,0,X105/T105)</f>
        <v>1.042506427398535E-2</v>
      </c>
    </row>
    <row r="106" spans="1:26" ht="15" thickTop="1" x14ac:dyDescent="0.3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3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" thickBot="1" x14ac:dyDescent="0.35">
      <c r="A108" s="10"/>
      <c r="B108" s="26" t="s">
        <v>294</v>
      </c>
      <c r="C108" s="26"/>
      <c r="D108" s="35">
        <f>SUM(D105:D107)</f>
        <v>-104580.87</v>
      </c>
      <c r="E108" s="13"/>
      <c r="F108" s="34">
        <f>IF(D$12=0,0,D108/D$12)</f>
        <v>0</v>
      </c>
      <c r="G108" s="13"/>
      <c r="H108" s="35">
        <f>SUM(H105:H107)</f>
        <v>-113286.25099830769</v>
      </c>
      <c r="I108" s="13"/>
      <c r="J108" s="34">
        <f>IF(H$12=0,0,H108/H$12)</f>
        <v>0</v>
      </c>
      <c r="K108" s="16"/>
      <c r="L108" s="35">
        <f>+D108-H108</f>
        <v>8705.3809983076935</v>
      </c>
      <c r="M108" s="16"/>
      <c r="N108" s="34">
        <f>IF(H108=0,0,L108/H108)</f>
        <v>-7.6844108809265274E-2</v>
      </c>
      <c r="O108" s="25"/>
      <c r="P108" s="35">
        <f>SUM(P105:P107)</f>
        <v>-717616.1799999997</v>
      </c>
      <c r="Q108" s="13"/>
      <c r="R108" s="34">
        <f>IF(P$12=0,0,P108/P$12)</f>
        <v>0</v>
      </c>
      <c r="S108" s="13"/>
      <c r="T108" s="35">
        <f>SUM(T105:T107)</f>
        <v>-710212.17245399999</v>
      </c>
      <c r="U108" s="13"/>
      <c r="V108" s="34">
        <f>IF(T$12=0,0,T108/T$12)</f>
        <v>0</v>
      </c>
      <c r="W108" s="16"/>
      <c r="X108" s="35">
        <f>+P108-T108</f>
        <v>-7404.007545999717</v>
      </c>
      <c r="Y108" s="16"/>
      <c r="Z108" s="34">
        <f>IF(T108=0,0,X108/T108)</f>
        <v>1.042506427398535E-2</v>
      </c>
    </row>
    <row r="109" spans="1:26" ht="15" thickTop="1" x14ac:dyDescent="0.3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3">
      <c r="A110" s="9"/>
      <c r="B110" s="61">
        <v>44575.842125659721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">
      <c r="A111" s="9"/>
      <c r="B111" s="62" t="s">
        <v>56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3">
      <c r="A112" s="9"/>
      <c r="B112" s="53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3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81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11601.25</v>
      </c>
      <c r="E12" s="4"/>
      <c r="F12" s="12"/>
      <c r="G12" s="4"/>
      <c r="H12" s="4">
        <f>SUM(OSRRefH13x_0)</f>
        <v>22166</v>
      </c>
      <c r="I12" s="4"/>
      <c r="J12" s="12"/>
      <c r="K12" s="4"/>
      <c r="L12" s="4">
        <f t="shared" ref="L12:L16" si="0">+D12-H12</f>
        <v>-10564.75</v>
      </c>
      <c r="M12" s="4"/>
      <c r="N12" s="12">
        <f t="shared" ref="N12:N16" si="1">IF(H12=0,0,L12/H12)</f>
        <v>-0.47661959758188216</v>
      </c>
      <c r="O12" s="10"/>
      <c r="P12" s="4">
        <f>SUM(OSRRefP13x_0)</f>
        <v>93928.319999999978</v>
      </c>
      <c r="Q12" s="4"/>
      <c r="R12" s="12"/>
      <c r="S12" s="4"/>
      <c r="T12" s="4">
        <f>SUM(OSRRefT13x_0)</f>
        <v>271974</v>
      </c>
      <c r="U12" s="4"/>
      <c r="V12" s="12"/>
      <c r="W12" s="4"/>
      <c r="X12" s="4">
        <f t="shared" ref="X12:X16" si="2">+P12-T12</f>
        <v>-178045.68000000002</v>
      </c>
      <c r="Y12" s="4"/>
      <c r="Z12" s="12">
        <f t="shared" ref="Z12:Z16" si="3">IF(T12=0,0,X12/T12)</f>
        <v>-0.65464228198283669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--8671.83</f>
        <v>8671.83</v>
      </c>
      <c r="E13" s="2"/>
      <c r="F13" s="19"/>
      <c r="G13" s="2"/>
      <c r="H13" s="2">
        <v>12827</v>
      </c>
      <c r="I13" s="2"/>
      <c r="J13" s="19"/>
      <c r="K13" s="2"/>
      <c r="L13" s="2">
        <f t="shared" si="0"/>
        <v>-4155.17</v>
      </c>
      <c r="M13" s="2"/>
      <c r="N13" s="19">
        <f t="shared" si="1"/>
        <v>-0.32393934669057456</v>
      </c>
      <c r="O13" s="11"/>
      <c r="P13" s="2">
        <f>--69743.31</f>
        <v>69743.31</v>
      </c>
      <c r="Q13" s="2"/>
      <c r="R13" s="19"/>
      <c r="S13" s="2"/>
      <c r="T13" s="2">
        <v>183078</v>
      </c>
      <c r="U13" s="2"/>
      <c r="V13" s="19"/>
      <c r="W13" s="2"/>
      <c r="X13" s="2">
        <f t="shared" si="2"/>
        <v>-113334.69</v>
      </c>
      <c r="Y13" s="2"/>
      <c r="Z13" s="19">
        <f t="shared" si="3"/>
        <v>-0.61905138793301218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--4265.13</f>
        <v>4265.13</v>
      </c>
      <c r="E14" s="2"/>
      <c r="F14" s="19"/>
      <c r="G14" s="2"/>
      <c r="H14" s="2">
        <v>9339</v>
      </c>
      <c r="I14" s="2"/>
      <c r="J14" s="19"/>
      <c r="K14" s="2"/>
      <c r="L14" s="2">
        <f t="shared" si="0"/>
        <v>-5073.87</v>
      </c>
      <c r="M14" s="2"/>
      <c r="N14" s="19">
        <f t="shared" si="1"/>
        <v>-0.54329906842274334</v>
      </c>
      <c r="O14" s="11"/>
      <c r="P14" s="2">
        <f>--26802.96</f>
        <v>26802.959999999999</v>
      </c>
      <c r="Q14" s="2"/>
      <c r="R14" s="19"/>
      <c r="S14" s="2"/>
      <c r="T14" s="2">
        <v>88896</v>
      </c>
      <c r="U14" s="2"/>
      <c r="V14" s="19"/>
      <c r="W14" s="2"/>
      <c r="X14" s="2">
        <f t="shared" si="2"/>
        <v>-62093.04</v>
      </c>
      <c r="Y14" s="2"/>
      <c r="Z14" s="19">
        <f t="shared" si="3"/>
        <v>-0.69849082073434121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-53.97</f>
        <v>-53.97</v>
      </c>
      <c r="E15" s="2"/>
      <c r="F15" s="19"/>
      <c r="G15" s="2"/>
      <c r="H15" s="2"/>
      <c r="I15" s="2"/>
      <c r="J15" s="19"/>
      <c r="K15" s="2"/>
      <c r="L15" s="2">
        <f t="shared" si="0"/>
        <v>-53.97</v>
      </c>
      <c r="M15" s="2"/>
      <c r="N15" s="19">
        <f t="shared" si="1"/>
        <v>0</v>
      </c>
      <c r="O15" s="11"/>
      <c r="P15" s="2">
        <f>-1026.49</f>
        <v>-1026.49</v>
      </c>
      <c r="Q15" s="2"/>
      <c r="R15" s="19"/>
      <c r="S15" s="2"/>
      <c r="T15" s="2"/>
      <c r="U15" s="2"/>
      <c r="V15" s="19"/>
      <c r="W15" s="2"/>
      <c r="X15" s="2">
        <f t="shared" si="2"/>
        <v>-1026.49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"4500", " - ", "SALES DISCOUNT")</f>
        <v xml:space="preserve">          4500 - SALES DISCOUNT</v>
      </c>
      <c r="C16" s="11"/>
      <c r="D16" s="2">
        <f>-1281.74</f>
        <v>-1281.74</v>
      </c>
      <c r="E16" s="2"/>
      <c r="F16" s="19"/>
      <c r="G16" s="2"/>
      <c r="H16" s="2"/>
      <c r="I16" s="2"/>
      <c r="J16" s="19"/>
      <c r="K16" s="2"/>
      <c r="L16" s="2">
        <f t="shared" si="0"/>
        <v>-1281.74</v>
      </c>
      <c r="M16" s="2"/>
      <c r="N16" s="19">
        <f t="shared" si="1"/>
        <v>0</v>
      </c>
      <c r="O16" s="11"/>
      <c r="P16" s="2">
        <f>-1591.46</f>
        <v>-1591.46</v>
      </c>
      <c r="Q16" s="2"/>
      <c r="R16" s="19"/>
      <c r="S16" s="2"/>
      <c r="T16" s="2"/>
      <c r="U16" s="2"/>
      <c r="V16" s="19"/>
      <c r="W16" s="2"/>
      <c r="X16" s="2">
        <f t="shared" si="2"/>
        <v>-1591.46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7098.52</v>
      </c>
      <c r="E18" s="4"/>
      <c r="F18" s="12">
        <f t="shared" ref="F18:F28" si="4">IF(D$12=0,0,D18/D$12)</f>
        <v>0.6118754444564164</v>
      </c>
      <c r="G18" s="4"/>
      <c r="H18" s="4">
        <f>SUM(OSRRefH16x_0)</f>
        <v>12089</v>
      </c>
      <c r="I18" s="4"/>
      <c r="J18" s="12">
        <f t="shared" ref="J18:J28" si="5">IF(H$12=0,0,H18/H$12)</f>
        <v>0.54538482360371743</v>
      </c>
      <c r="K18" s="4"/>
      <c r="L18" s="4">
        <f t="shared" ref="L18:L28" si="6">+D18-H18</f>
        <v>-4990.4799999999996</v>
      </c>
      <c r="M18" s="4"/>
      <c r="N18" s="12">
        <f t="shared" ref="N18:N28" si="7">IF(H18=0,0,L18/H18)</f>
        <v>-0.4128116469517743</v>
      </c>
      <c r="O18" s="10"/>
      <c r="P18" s="4">
        <f>SUM(OSRRefP16x_0)</f>
        <v>53591.54</v>
      </c>
      <c r="Q18" s="4"/>
      <c r="R18" s="12">
        <f t="shared" ref="R18:R28" si="8">IF(P$12=0,0,P18/P$12)</f>
        <v>0.57055784666435017</v>
      </c>
      <c r="S18" s="4"/>
      <c r="T18" s="4">
        <f>SUM(OSRRefT16x_0)</f>
        <v>152619</v>
      </c>
      <c r="U18" s="4"/>
      <c r="V18" s="12">
        <f t="shared" ref="V18:V28" si="9">IF(T$12=0,0,T18/T$12)</f>
        <v>0.56115290432173659</v>
      </c>
      <c r="W18" s="4"/>
      <c r="X18" s="4">
        <f t="shared" ref="X18:X28" si="10">+P18-T18</f>
        <v>-99027.459999999992</v>
      </c>
      <c r="Y18" s="4"/>
      <c r="Z18" s="12">
        <f t="shared" ref="Z18:Z28" si="11">IF(T18=0,0,X18/T18)</f>
        <v>-0.64885407452545218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9742.81</v>
      </c>
      <c r="E19" s="2"/>
      <c r="F19" s="19">
        <f t="shared" si="4"/>
        <v>0.83980691735804325</v>
      </c>
      <c r="G19" s="2"/>
      <c r="H19" s="2">
        <v>12089</v>
      </c>
      <c r="I19" s="2"/>
      <c r="J19" s="19">
        <f t="shared" si="5"/>
        <v>0.54538482360371743</v>
      </c>
      <c r="K19" s="2"/>
      <c r="L19" s="2">
        <f t="shared" si="6"/>
        <v>-2346.1900000000005</v>
      </c>
      <c r="M19" s="2"/>
      <c r="N19" s="19">
        <f t="shared" si="7"/>
        <v>-0.19407643312101916</v>
      </c>
      <c r="O19" s="11"/>
      <c r="P19" s="2">
        <v>82267.97</v>
      </c>
      <c r="Q19" s="2"/>
      <c r="R19" s="19">
        <f t="shared" si="8"/>
        <v>0.87585905933375596</v>
      </c>
      <c r="S19" s="2"/>
      <c r="T19" s="2">
        <v>152619</v>
      </c>
      <c r="U19" s="2"/>
      <c r="V19" s="19">
        <f t="shared" si="9"/>
        <v>0.56115290432173659</v>
      </c>
      <c r="W19" s="2"/>
      <c r="X19" s="2">
        <f t="shared" si="10"/>
        <v>-70351.03</v>
      </c>
      <c r="Y19" s="2"/>
      <c r="Z19" s="19">
        <f t="shared" si="11"/>
        <v>-0.46095853072029042</v>
      </c>
    </row>
    <row r="20" spans="1:26" s="24" customFormat="1" hidden="1" outlineLevel="1" x14ac:dyDescent="0.3">
      <c r="A20" s="44"/>
      <c r="B20" s="11" t="str">
        <f>CONCATENATE("          ", "5026", " - ", "PURCHASES @ COST-WRITING INSTR")</f>
        <v xml:space="preserve">          5026 - PURCHASES @ COST-WRITING INSTR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"5042", " - ", "PURCHASES @ COST-EVERYDAY GIFT")</f>
        <v xml:space="preserve">          5042 - PURCHASES @ COST-EVERYDAY GIFT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-9920.89</v>
      </c>
      <c r="E25" s="2"/>
      <c r="F25" s="19">
        <f t="shared" si="4"/>
        <v>-0.8551569873935998</v>
      </c>
      <c r="G25" s="2"/>
      <c r="H25" s="2"/>
      <c r="I25" s="2"/>
      <c r="J25" s="19">
        <f t="shared" si="5"/>
        <v>0</v>
      </c>
      <c r="K25" s="2"/>
      <c r="L25" s="2">
        <f t="shared" si="6"/>
        <v>-9920.89</v>
      </c>
      <c r="M25" s="2"/>
      <c r="N25" s="19">
        <f t="shared" si="7"/>
        <v>0</v>
      </c>
      <c r="O25" s="11"/>
      <c r="P25" s="2">
        <v>-83257.440000000002</v>
      </c>
      <c r="Q25" s="2"/>
      <c r="R25" s="19">
        <f t="shared" si="8"/>
        <v>-0.88639336890088127</v>
      </c>
      <c r="S25" s="2"/>
      <c r="T25" s="2"/>
      <c r="U25" s="2"/>
      <c r="V25" s="19">
        <f t="shared" si="9"/>
        <v>0</v>
      </c>
      <c r="W25" s="2"/>
      <c r="X25" s="2">
        <f t="shared" si="10"/>
        <v>-83257.440000000002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"5300", " - ", "COG$ OFFSET")</f>
        <v xml:space="preserve">          5300 - COG$ OFFSET</v>
      </c>
      <c r="C26" s="11"/>
      <c r="D26" s="2">
        <v>7098.52</v>
      </c>
      <c r="E26" s="2"/>
      <c r="F26" s="19">
        <f t="shared" si="4"/>
        <v>0.6118754444564164</v>
      </c>
      <c r="G26" s="2"/>
      <c r="H26" s="2"/>
      <c r="I26" s="2"/>
      <c r="J26" s="19">
        <f t="shared" si="5"/>
        <v>0</v>
      </c>
      <c r="K26" s="2"/>
      <c r="L26" s="2">
        <f t="shared" si="6"/>
        <v>7098.52</v>
      </c>
      <c r="M26" s="2"/>
      <c r="N26" s="19">
        <f t="shared" si="7"/>
        <v>0</v>
      </c>
      <c r="O26" s="11"/>
      <c r="P26" s="2">
        <v>53591.54</v>
      </c>
      <c r="Q26" s="2"/>
      <c r="R26" s="19">
        <f t="shared" si="8"/>
        <v>0.57055784666435017</v>
      </c>
      <c r="S26" s="2"/>
      <c r="T26" s="2"/>
      <c r="U26" s="2"/>
      <c r="V26" s="19">
        <f t="shared" si="9"/>
        <v>0</v>
      </c>
      <c r="W26" s="2"/>
      <c r="X26" s="2">
        <f t="shared" si="10"/>
        <v>53591.54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>
        <v>178.08</v>
      </c>
      <c r="E27" s="2"/>
      <c r="F27" s="19">
        <f t="shared" si="4"/>
        <v>1.5350070035556515E-2</v>
      </c>
      <c r="G27" s="2"/>
      <c r="H27" s="2"/>
      <c r="I27" s="2"/>
      <c r="J27" s="19">
        <f t="shared" si="5"/>
        <v>0</v>
      </c>
      <c r="K27" s="2"/>
      <c r="L27" s="2">
        <f t="shared" si="6"/>
        <v>178.08</v>
      </c>
      <c r="M27" s="2"/>
      <c r="N27" s="19">
        <f t="shared" si="7"/>
        <v>0</v>
      </c>
      <c r="O27" s="11"/>
      <c r="P27" s="2">
        <v>989.47</v>
      </c>
      <c r="Q27" s="2"/>
      <c r="R27" s="19">
        <f t="shared" si="8"/>
        <v>1.0534309567125233E-2</v>
      </c>
      <c r="S27" s="2"/>
      <c r="T27" s="2"/>
      <c r="U27" s="2"/>
      <c r="V27" s="19">
        <f t="shared" si="9"/>
        <v>0</v>
      </c>
      <c r="W27" s="2"/>
      <c r="X27" s="2">
        <f t="shared" si="10"/>
        <v>989.47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"5528", " - ", "FREIGHT-IN-ART/TECH")</f>
        <v xml:space="preserve">          5528 - FREIGHT-IN-ART/TECH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108</v>
      </c>
      <c r="C30" s="26"/>
      <c r="D30" s="20">
        <f>D12-D18</f>
        <v>4502.7299999999996</v>
      </c>
      <c r="E30" s="13"/>
      <c r="F30" s="22">
        <f>IF(D$12=0,0,D30/D$12)</f>
        <v>0.3881245555435836</v>
      </c>
      <c r="G30" s="13"/>
      <c r="H30" s="20">
        <f>H12-H18</f>
        <v>10077</v>
      </c>
      <c r="I30" s="13"/>
      <c r="J30" s="22">
        <f>IF(H$12=0,0,H30/H$12)</f>
        <v>0.45461517639628257</v>
      </c>
      <c r="K30" s="16"/>
      <c r="L30" s="20">
        <f>+D30-H30</f>
        <v>-5574.27</v>
      </c>
      <c r="M30" s="16"/>
      <c r="N30" s="22">
        <f>IF(H30=0,0,L30/H30)</f>
        <v>-0.55316760940756182</v>
      </c>
      <c r="O30" s="25"/>
      <c r="P30" s="20">
        <f>P12-P18</f>
        <v>40336.779999999977</v>
      </c>
      <c r="Q30" s="13"/>
      <c r="R30" s="22">
        <f>IF(P$12=0,0,P30/P$12)</f>
        <v>0.42944215333564983</v>
      </c>
      <c r="S30" s="13"/>
      <c r="T30" s="20">
        <f>T12-T18</f>
        <v>119355</v>
      </c>
      <c r="U30" s="13"/>
      <c r="V30" s="22">
        <f>IF(T$12=0,0,T30/T$12)</f>
        <v>0.43884709567826335</v>
      </c>
      <c r="W30" s="16"/>
      <c r="X30" s="20">
        <f>+P30-T30</f>
        <v>-79018.22000000003</v>
      </c>
      <c r="Y30" s="16"/>
      <c r="Z30" s="22">
        <f>IF(T30=0,0,X30/T30)</f>
        <v>-0.66204365129236342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1">
        <f>SUM(OSRRefD22x_0)</f>
        <v>6524.0100000000011</v>
      </c>
      <c r="E32" s="21"/>
      <c r="F32" s="32">
        <f t="shared" ref="F32:F41" si="12">IF(D$12=0,0,D32/D$12)</f>
        <v>0.56235405667492733</v>
      </c>
      <c r="G32" s="21"/>
      <c r="H32" s="21">
        <f>SUM(OSRRefH22x_0)</f>
        <v>9885.615600000001</v>
      </c>
      <c r="I32" s="21"/>
      <c r="J32" s="32">
        <f t="shared" ref="J32:J41" si="13">IF(H$12=0,0,H32/H$12)</f>
        <v>0.44598103401606065</v>
      </c>
      <c r="K32" s="4"/>
      <c r="L32" s="21">
        <f t="shared" ref="L32:L41" si="14">+D32-H32</f>
        <v>-3361.6055999999999</v>
      </c>
      <c r="M32" s="4"/>
      <c r="N32" s="32">
        <f t="shared" ref="N32:N41" si="15">IF(H32=0,0,L32/H32)</f>
        <v>-0.34005020385376905</v>
      </c>
      <c r="O32" s="10"/>
      <c r="P32" s="21">
        <f>SUM(OSRRefP22x_0)</f>
        <v>27518.729999999996</v>
      </c>
      <c r="Q32" s="21"/>
      <c r="R32" s="32">
        <f t="shared" ref="R32:R41" si="16">IF(P$12=0,0,P32/P$12)</f>
        <v>0.29297585648290103</v>
      </c>
      <c r="S32" s="21"/>
      <c r="T32" s="21">
        <f>SUM(OSRRefT22x_0)</f>
        <v>67302.538750000007</v>
      </c>
      <c r="U32" s="21"/>
      <c r="V32" s="32">
        <f t="shared" ref="V32:V41" si="17">IF(T$12=0,0,T32/T$12)</f>
        <v>0.24745945844088041</v>
      </c>
      <c r="W32" s="4"/>
      <c r="X32" s="21">
        <f t="shared" ref="X32:X41" si="18">+P32-T32</f>
        <v>-39783.808750000011</v>
      </c>
      <c r="Y32" s="4"/>
      <c r="Z32" s="32">
        <f t="shared" ref="Z32:Z41" si="19">IF(T32=0,0,X32/T32)</f>
        <v>-0.59111899029217541</v>
      </c>
    </row>
    <row r="33" spans="1:26" s="28" customFormat="1" outlineLevel="1" collapsed="1" x14ac:dyDescent="0.3">
      <c r="A33" s="27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153.04999999999998</v>
      </c>
      <c r="E33" s="1"/>
      <c r="F33" s="5">
        <f t="shared" si="12"/>
        <v>1.3192543906906582E-2</v>
      </c>
      <c r="G33" s="1"/>
      <c r="H33" s="1">
        <f>SUM(OSRRefH22_0x_0)</f>
        <v>573.61560000000009</v>
      </c>
      <c r="I33" s="1"/>
      <c r="J33" s="5">
        <f t="shared" si="13"/>
        <v>2.5878173779662551E-2</v>
      </c>
      <c r="K33" s="1"/>
      <c r="L33" s="1">
        <f t="shared" si="14"/>
        <v>-420.56560000000013</v>
      </c>
      <c r="M33" s="1"/>
      <c r="N33" s="5">
        <f t="shared" si="15"/>
        <v>-0.73318368607827278</v>
      </c>
      <c r="O33" s="14"/>
      <c r="P33" s="1">
        <f>SUM(OSRRefP22_0x_0)</f>
        <v>378.80000000000007</v>
      </c>
      <c r="Q33" s="1"/>
      <c r="R33" s="5">
        <f t="shared" si="16"/>
        <v>4.0328625062175088E-3</v>
      </c>
      <c r="S33" s="1"/>
      <c r="T33" s="1">
        <f>SUM(OSRRefT22_0x_0)</f>
        <v>4799.5387499999997</v>
      </c>
      <c r="U33" s="1"/>
      <c r="V33" s="5">
        <f t="shared" si="17"/>
        <v>1.7647049901828849E-2</v>
      </c>
      <c r="W33" s="1"/>
      <c r="X33" s="1">
        <f t="shared" si="18"/>
        <v>-4420.7387499999995</v>
      </c>
      <c r="Y33" s="1"/>
      <c r="Z33" s="5">
        <f t="shared" si="19"/>
        <v>-0.92107574920610857</v>
      </c>
    </row>
    <row r="34" spans="1:26" s="24" customFormat="1" hidden="1" outlineLevel="2" x14ac:dyDescent="0.3">
      <c r="A34" s="29"/>
      <c r="B34" s="11" t="str">
        <f>CONCATENATE("          ", "6111", " - ", "F.I.C.A.")</f>
        <v xml:space="preserve">          6111 - F.I.C.A.</v>
      </c>
      <c r="C34" s="11"/>
      <c r="D34" s="6">
        <v>59.97</v>
      </c>
      <c r="E34" s="2"/>
      <c r="F34" s="7">
        <f t="shared" si="12"/>
        <v>5.1692705527421612E-3</v>
      </c>
      <c r="G34" s="2"/>
      <c r="H34" s="6">
        <v>146.9376</v>
      </c>
      <c r="I34" s="2"/>
      <c r="J34" s="7">
        <f t="shared" si="13"/>
        <v>6.6289632770910401E-3</v>
      </c>
      <c r="K34" s="2"/>
      <c r="L34" s="6">
        <f t="shared" si="14"/>
        <v>-86.967600000000004</v>
      </c>
      <c r="M34" s="2"/>
      <c r="N34" s="7">
        <f t="shared" si="15"/>
        <v>-0.59186756827387954</v>
      </c>
      <c r="O34" s="11"/>
      <c r="P34" s="6">
        <v>70.28</v>
      </c>
      <c r="Q34" s="2"/>
      <c r="R34" s="7">
        <f t="shared" si="16"/>
        <v>7.4823013974911951E-4</v>
      </c>
      <c r="S34" s="2"/>
      <c r="T34" s="6">
        <v>2026.13175</v>
      </c>
      <c r="U34" s="2"/>
      <c r="V34" s="7">
        <f t="shared" si="17"/>
        <v>7.4497258929162348E-3</v>
      </c>
      <c r="W34" s="2"/>
      <c r="X34" s="6">
        <f t="shared" si="18"/>
        <v>-1955.85175</v>
      </c>
      <c r="Y34" s="2"/>
      <c r="Z34" s="7">
        <f t="shared" si="19"/>
        <v>-0.96531321322021635</v>
      </c>
    </row>
    <row r="35" spans="1:26" s="24" customFormat="1" hidden="1" outlineLevel="2" x14ac:dyDescent="0.3">
      <c r="A35" s="29"/>
      <c r="B35" s="11" t="str">
        <f>CONCATENATE("          ", "6112", " - ", "COMPENSATION INSURANCE")</f>
        <v xml:space="preserve">          6112 - COMPENSATION INSURANCE</v>
      </c>
      <c r="C35" s="11"/>
      <c r="D35" s="6">
        <v>79.17</v>
      </c>
      <c r="E35" s="2"/>
      <c r="F35" s="7">
        <f t="shared" si="12"/>
        <v>6.8242646266566103E-3</v>
      </c>
      <c r="G35" s="2"/>
      <c r="H35" s="6">
        <v>126.98399999999999</v>
      </c>
      <c r="I35" s="2"/>
      <c r="J35" s="7">
        <f t="shared" si="13"/>
        <v>5.7287737977082011E-3</v>
      </c>
      <c r="K35" s="2"/>
      <c r="L35" s="6">
        <f t="shared" si="14"/>
        <v>-47.813999999999993</v>
      </c>
      <c r="M35" s="2"/>
      <c r="N35" s="7">
        <f t="shared" si="15"/>
        <v>-0.3765356265356265</v>
      </c>
      <c r="O35" s="11"/>
      <c r="P35" s="6">
        <v>262.42</v>
      </c>
      <c r="Q35" s="2"/>
      <c r="R35" s="7">
        <f t="shared" si="16"/>
        <v>2.7938325736050649E-3</v>
      </c>
      <c r="S35" s="2"/>
      <c r="T35" s="6">
        <v>825.39599999999996</v>
      </c>
      <c r="U35" s="2"/>
      <c r="V35" s="7">
        <f t="shared" si="17"/>
        <v>3.0348342120938027E-3</v>
      </c>
      <c r="W35" s="2"/>
      <c r="X35" s="6">
        <f t="shared" si="18"/>
        <v>-562.97599999999989</v>
      </c>
      <c r="Y35" s="2"/>
      <c r="Z35" s="7">
        <f t="shared" si="19"/>
        <v>-0.68206775899083583</v>
      </c>
    </row>
    <row r="36" spans="1:26" s="24" customFormat="1" hidden="1" outlineLevel="2" x14ac:dyDescent="0.3">
      <c r="A36" s="29"/>
      <c r="B36" s="11" t="str">
        <f>CONCATENATE("          ", "6113", " - ", "GROUP INSURANCE")</f>
        <v xml:space="preserve">          6113 - GROUP INSURANCE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3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13.91</v>
      </c>
      <c r="E37" s="2"/>
      <c r="F37" s="7">
        <f t="shared" si="12"/>
        <v>1.1990087275078117E-3</v>
      </c>
      <c r="G37" s="2"/>
      <c r="H37" s="6">
        <v>17.094000000000001</v>
      </c>
      <c r="I37" s="2"/>
      <c r="J37" s="7">
        <f t="shared" si="13"/>
        <v>7.7118108815302721E-4</v>
      </c>
      <c r="K37" s="2"/>
      <c r="L37" s="6">
        <f t="shared" si="14"/>
        <v>-3.1840000000000011</v>
      </c>
      <c r="M37" s="2"/>
      <c r="N37" s="7">
        <f t="shared" si="15"/>
        <v>-0.18626418626418631</v>
      </c>
      <c r="O37" s="11"/>
      <c r="P37" s="6">
        <v>46.1</v>
      </c>
      <c r="Q37" s="2"/>
      <c r="R37" s="7">
        <f t="shared" si="16"/>
        <v>4.9079979286332403E-4</v>
      </c>
      <c r="S37" s="2"/>
      <c r="T37" s="6">
        <v>111.111</v>
      </c>
      <c r="U37" s="2"/>
      <c r="V37" s="7">
        <f t="shared" si="17"/>
        <v>4.0853537470493507E-4</v>
      </c>
      <c r="W37" s="2"/>
      <c r="X37" s="6">
        <f t="shared" si="18"/>
        <v>-65.010999999999996</v>
      </c>
      <c r="Y37" s="2"/>
      <c r="Z37" s="7">
        <f t="shared" si="19"/>
        <v>-0.58509958509958504</v>
      </c>
    </row>
    <row r="38" spans="1:26" s="24" customFormat="1" hidden="1" outlineLevel="2" x14ac:dyDescent="0.3">
      <c r="A38" s="29"/>
      <c r="B38" s="11" t="str">
        <f>CONCATENATE("          ", "6115", " - ", "P.E.R.S.")</f>
        <v xml:space="preserve">          6115 - P.E.R.S.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3">
      <c r="A39" s="29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9"/>
      <c r="B40" s="11" t="str">
        <f>CONCATENATE("          ", "6118", " - ", "VACATION")</f>
        <v xml:space="preserve">          6118 - VACATION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"6119", " - ", "SICK LEAVE")</f>
        <v xml:space="preserve">          6119 - SICK LEAVE</v>
      </c>
      <c r="C41" s="11"/>
      <c r="D41" s="6"/>
      <c r="E41" s="2"/>
      <c r="F41" s="7">
        <f t="shared" si="12"/>
        <v>0</v>
      </c>
      <c r="G41" s="2"/>
      <c r="H41" s="6">
        <v>282.60000000000002</v>
      </c>
      <c r="I41" s="2"/>
      <c r="J41" s="7">
        <f t="shared" si="13"/>
        <v>1.2749255616710278E-2</v>
      </c>
      <c r="K41" s="2"/>
      <c r="L41" s="6">
        <f t="shared" si="14"/>
        <v>-282.60000000000002</v>
      </c>
      <c r="M41" s="2"/>
      <c r="N41" s="7">
        <f t="shared" si="15"/>
        <v>-1</v>
      </c>
      <c r="O41" s="11"/>
      <c r="P41" s="6"/>
      <c r="Q41" s="2"/>
      <c r="R41" s="7">
        <f t="shared" si="16"/>
        <v>0</v>
      </c>
      <c r="S41" s="2"/>
      <c r="T41" s="6">
        <v>1836.9</v>
      </c>
      <c r="U41" s="2"/>
      <c r="V41" s="7">
        <f t="shared" si="17"/>
        <v>6.753954422113879E-3</v>
      </c>
      <c r="W41" s="2"/>
      <c r="X41" s="6">
        <f t="shared" si="18"/>
        <v>-1836.9</v>
      </c>
      <c r="Y41" s="2"/>
      <c r="Z41" s="7">
        <f t="shared" si="19"/>
        <v>-1</v>
      </c>
    </row>
    <row r="42" spans="1:26" s="28" customFormat="1" outlineLevel="1" collapsed="1" x14ac:dyDescent="0.3">
      <c r="A42" s="27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5071.58</v>
      </c>
      <c r="E42" s="1"/>
      <c r="F42" s="5">
        <f t="shared" ref="F42:F52" si="20">IF(D$12=0,0,D42/D$12)</f>
        <v>0.43715806486370001</v>
      </c>
      <c r="G42" s="1"/>
      <c r="H42" s="1">
        <f>SUM(OSRRefH22_1x_0)</f>
        <v>8044</v>
      </c>
      <c r="I42" s="1"/>
      <c r="J42" s="5">
        <f t="shared" ref="J42:J52" si="21">IF(H$12=0,0,H42/H$12)</f>
        <v>0.36289813227465489</v>
      </c>
      <c r="K42" s="1"/>
      <c r="L42" s="1">
        <f t="shared" ref="L42:L52" si="22">+D42-H42</f>
        <v>-2972.42</v>
      </c>
      <c r="M42" s="1"/>
      <c r="N42" s="5">
        <f t="shared" ref="N42:N52" si="23">IF(H42=0,0,L42/H42)</f>
        <v>-0.36952013923421184</v>
      </c>
      <c r="O42" s="14"/>
      <c r="P42" s="1">
        <f>SUM(OSRRefP22_1x_0)</f>
        <v>15795.169999999998</v>
      </c>
      <c r="Q42" s="1"/>
      <c r="R42" s="5">
        <f t="shared" ref="R42:R52" si="24">IF(P$12=0,0,P42/P$12)</f>
        <v>0.1681619558403685</v>
      </c>
      <c r="S42" s="1"/>
      <c r="T42" s="1">
        <f>SUM(OSRRefT22_1x_0)</f>
        <v>52286</v>
      </c>
      <c r="U42" s="1"/>
      <c r="V42" s="5">
        <f t="shared" ref="V42:V52" si="25">IF(T$12=0,0,T42/T$12)</f>
        <v>0.19224631766271777</v>
      </c>
      <c r="W42" s="1"/>
      <c r="X42" s="1">
        <f t="shared" ref="X42:X52" si="26">+P42-T42</f>
        <v>-36490.83</v>
      </c>
      <c r="Y42" s="1"/>
      <c r="Z42" s="5">
        <f t="shared" ref="Z42:Z52" si="27">IF(T42=0,0,X42/T42)</f>
        <v>-0.69790823547412317</v>
      </c>
    </row>
    <row r="43" spans="1:26" s="24" customFormat="1" hidden="1" outlineLevel="2" x14ac:dyDescent="0.3">
      <c r="A43" s="29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"6002", " - ", "STAFF SALARIES")</f>
        <v xml:space="preserve">          6002 - STAFF SALARIES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9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"6004", " - ", "STAFF HOURLY")</f>
        <v xml:space="preserve">          6004 - STAFF HOURLY</v>
      </c>
      <c r="C46" s="11"/>
      <c r="D46" s="6">
        <v>783.61</v>
      </c>
      <c r="E46" s="2"/>
      <c r="F46" s="7">
        <f t="shared" si="20"/>
        <v>6.7545307617713615E-2</v>
      </c>
      <c r="G46" s="2"/>
      <c r="H46" s="6">
        <v>1824</v>
      </c>
      <c r="I46" s="2"/>
      <c r="J46" s="7">
        <f t="shared" si="21"/>
        <v>8.2288189118469732E-2</v>
      </c>
      <c r="K46" s="2"/>
      <c r="L46" s="6">
        <f t="shared" si="22"/>
        <v>-1040.3899999999999</v>
      </c>
      <c r="M46" s="2"/>
      <c r="N46" s="7">
        <f t="shared" si="23"/>
        <v>-0.57038925438596488</v>
      </c>
      <c r="O46" s="11"/>
      <c r="P46" s="6">
        <v>783.61</v>
      </c>
      <c r="Q46" s="2"/>
      <c r="R46" s="7">
        <f t="shared" si="24"/>
        <v>8.3426383012067101E-3</v>
      </c>
      <c r="S46" s="2"/>
      <c r="T46" s="6">
        <v>11856</v>
      </c>
      <c r="U46" s="2"/>
      <c r="V46" s="7">
        <f t="shared" si="25"/>
        <v>4.35924022149176E-2</v>
      </c>
      <c r="W46" s="2"/>
      <c r="X46" s="6">
        <f t="shared" si="26"/>
        <v>-11072.39</v>
      </c>
      <c r="Y46" s="2"/>
      <c r="Z46" s="7">
        <f t="shared" si="27"/>
        <v>-0.93390603913630221</v>
      </c>
    </row>
    <row r="47" spans="1:26" s="24" customFormat="1" hidden="1" outlineLevel="2" x14ac:dyDescent="0.3">
      <c r="A47" s="29"/>
      <c r="B47" s="11" t="str">
        <f>CONCATENATE("          ", "6005", " - ", "TEMPORARY WAGES-HOURLY")</f>
        <v xml:space="preserve">          6005 - TEMPORARY WAGES-HOURLY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>
        <v>134.81</v>
      </c>
      <c r="Q47" s="2"/>
      <c r="R47" s="7">
        <f t="shared" si="24"/>
        <v>1.4352433855944623E-3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134.81</v>
      </c>
      <c r="Y47" s="2"/>
      <c r="Z47" s="7">
        <f t="shared" si="27"/>
        <v>0</v>
      </c>
    </row>
    <row r="48" spans="1:26" s="24" customFormat="1" hidden="1" outlineLevel="2" x14ac:dyDescent="0.3">
      <c r="A48" s="29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9"/>
      <c r="B49" s="11" t="str">
        <f>CONCATENATE("          ", "6007", " - ", "STUDENT HOURLY")</f>
        <v xml:space="preserve">          6007 - STUDENT HOURLY</v>
      </c>
      <c r="C49" s="11"/>
      <c r="D49" s="6">
        <v>3436.96</v>
      </c>
      <c r="E49" s="2"/>
      <c r="F49" s="7">
        <f t="shared" si="20"/>
        <v>0.29625773084796897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3436.96</v>
      </c>
      <c r="M49" s="2"/>
      <c r="N49" s="7">
        <f t="shared" si="23"/>
        <v>0</v>
      </c>
      <c r="O49" s="11"/>
      <c r="P49" s="6">
        <v>12125.05</v>
      </c>
      <c r="Q49" s="2"/>
      <c r="R49" s="7">
        <f t="shared" si="24"/>
        <v>0.12908833033530251</v>
      </c>
      <c r="S49" s="2"/>
      <c r="T49" s="6">
        <v>13995</v>
      </c>
      <c r="U49" s="2"/>
      <c r="V49" s="7">
        <f t="shared" si="25"/>
        <v>5.145712457808467E-2</v>
      </c>
      <c r="W49" s="2"/>
      <c r="X49" s="6">
        <f t="shared" si="26"/>
        <v>-1869.9500000000007</v>
      </c>
      <c r="Y49" s="2"/>
      <c r="Z49" s="7">
        <f t="shared" si="27"/>
        <v>-0.13361557699178284</v>
      </c>
    </row>
    <row r="50" spans="1:26" s="24" customFormat="1" hidden="1" outlineLevel="2" x14ac:dyDescent="0.3">
      <c r="A50" s="29"/>
      <c r="B50" s="11" t="str">
        <f>CONCATENATE("          ", "6008", " - ", "STUDENT HOURLY-FICA EXEMPT")</f>
        <v xml:space="preserve">          6008 - STUDENT HOURLY-FICA EXEMPT</v>
      </c>
      <c r="C50" s="11"/>
      <c r="D50" s="6">
        <v>851.01</v>
      </c>
      <c r="E50" s="2"/>
      <c r="F50" s="7">
        <f t="shared" si="20"/>
        <v>7.3355026398017456E-2</v>
      </c>
      <c r="G50" s="2"/>
      <c r="H50" s="6">
        <v>6220</v>
      </c>
      <c r="I50" s="2"/>
      <c r="J50" s="7">
        <f t="shared" si="21"/>
        <v>0.28060994315618515</v>
      </c>
      <c r="K50" s="2"/>
      <c r="L50" s="6">
        <f t="shared" si="22"/>
        <v>-5368.99</v>
      </c>
      <c r="M50" s="2"/>
      <c r="N50" s="7">
        <f t="shared" si="23"/>
        <v>-0.86318167202572349</v>
      </c>
      <c r="O50" s="11"/>
      <c r="P50" s="6">
        <v>2751.7</v>
      </c>
      <c r="Q50" s="2"/>
      <c r="R50" s="7">
        <f t="shared" si="24"/>
        <v>2.9295743818264827E-2</v>
      </c>
      <c r="S50" s="2"/>
      <c r="T50" s="6">
        <v>26435</v>
      </c>
      <c r="U50" s="2"/>
      <c r="V50" s="7">
        <f t="shared" si="25"/>
        <v>9.7196790869715485E-2</v>
      </c>
      <c r="W50" s="2"/>
      <c r="X50" s="6">
        <f t="shared" si="26"/>
        <v>-23683.3</v>
      </c>
      <c r="Y50" s="2"/>
      <c r="Z50" s="7">
        <f t="shared" si="27"/>
        <v>-0.89590694155475692</v>
      </c>
    </row>
    <row r="51" spans="1:26" s="24" customFormat="1" hidden="1" outlineLevel="2" x14ac:dyDescent="0.3">
      <c r="A51" s="29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9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20"/>
        <v>0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0</v>
      </c>
      <c r="M52" s="2"/>
      <c r="N52" s="7">
        <f t="shared" si="23"/>
        <v>0</v>
      </c>
      <c r="O52" s="11"/>
      <c r="P52" s="6"/>
      <c r="Q52" s="2"/>
      <c r="R52" s="7">
        <f t="shared" si="24"/>
        <v>0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0</v>
      </c>
      <c r="Y52" s="2"/>
      <c r="Z52" s="7">
        <f t="shared" si="27"/>
        <v>0</v>
      </c>
    </row>
    <row r="53" spans="1:26" s="28" customFormat="1" outlineLevel="1" collapsed="1" x14ac:dyDescent="0.3">
      <c r="A53" s="27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0</v>
      </c>
      <c r="E53" s="1"/>
      <c r="F53" s="5">
        <f t="shared" ref="F53:F61" si="28">IF(D$12=0,0,D53/D$12)</f>
        <v>0</v>
      </c>
      <c r="G53" s="1"/>
      <c r="H53" s="1">
        <f>SUM(OSRRefH22_2x_0)</f>
        <v>50</v>
      </c>
      <c r="I53" s="1"/>
      <c r="J53" s="5">
        <f t="shared" ref="J53:J61" si="29">IF(H$12=0,0,H53/H$12)</f>
        <v>2.2557069385545428E-3</v>
      </c>
      <c r="K53" s="1"/>
      <c r="L53" s="1">
        <f t="shared" ref="L53:L61" si="30">+D53-H53</f>
        <v>-50</v>
      </c>
      <c r="M53" s="1"/>
      <c r="N53" s="5">
        <f t="shared" ref="N53:N61" si="31">IF(H53=0,0,L53/H53)</f>
        <v>-1</v>
      </c>
      <c r="O53" s="14"/>
      <c r="P53" s="1">
        <f>SUM(OSRRefP22_2x_0)</f>
        <v>1188.43</v>
      </c>
      <c r="Q53" s="1"/>
      <c r="R53" s="5">
        <f t="shared" ref="R53:R61" si="32">IF(P$12=0,0,P53/P$12)</f>
        <v>1.2652520560359223E-2</v>
      </c>
      <c r="S53" s="1"/>
      <c r="T53" s="1">
        <f>SUM(OSRRefT22_2x_0)</f>
        <v>300</v>
      </c>
      <c r="U53" s="1"/>
      <c r="V53" s="5">
        <f t="shared" ref="V53:V61" si="33">IF(T$12=0,0,T53/T$12)</f>
        <v>1.1030466147499394E-3</v>
      </c>
      <c r="W53" s="1"/>
      <c r="X53" s="1">
        <f t="shared" ref="X53:X61" si="34">+P53-T53</f>
        <v>888.43000000000006</v>
      </c>
      <c r="Y53" s="1"/>
      <c r="Z53" s="5">
        <f t="shared" ref="Z53:Z61" si="35">IF(T53=0,0,X53/T53)</f>
        <v>2.9614333333333334</v>
      </c>
    </row>
    <row r="54" spans="1:26" s="24" customFormat="1" hidden="1" outlineLevel="2" x14ac:dyDescent="0.3">
      <c r="A54" s="29"/>
      <c r="B54" s="11" t="str">
        <f>CONCATENATE("          ", "6362", " - ", "ADVERTISING EXPENSE")</f>
        <v xml:space="preserve">          6362 - ADVERTISING EXPENSE</v>
      </c>
      <c r="C54" s="11"/>
      <c r="D54" s="6"/>
      <c r="E54" s="2"/>
      <c r="F54" s="7">
        <f t="shared" si="28"/>
        <v>0</v>
      </c>
      <c r="G54" s="2"/>
      <c r="H54" s="6">
        <v>50</v>
      </c>
      <c r="I54" s="2"/>
      <c r="J54" s="7">
        <f t="shared" si="29"/>
        <v>2.2557069385545428E-3</v>
      </c>
      <c r="K54" s="2"/>
      <c r="L54" s="6">
        <f t="shared" si="30"/>
        <v>-50</v>
      </c>
      <c r="M54" s="2"/>
      <c r="N54" s="7">
        <f t="shared" si="31"/>
        <v>-1</v>
      </c>
      <c r="O54" s="11"/>
      <c r="P54" s="6">
        <v>1188.43</v>
      </c>
      <c r="Q54" s="2"/>
      <c r="R54" s="7">
        <f t="shared" si="32"/>
        <v>1.2652520560359223E-2</v>
      </c>
      <c r="S54" s="2"/>
      <c r="T54" s="6">
        <v>300</v>
      </c>
      <c r="U54" s="2"/>
      <c r="V54" s="7">
        <f t="shared" si="33"/>
        <v>1.1030466147499394E-3</v>
      </c>
      <c r="W54" s="2"/>
      <c r="X54" s="6">
        <f t="shared" si="34"/>
        <v>888.43000000000006</v>
      </c>
      <c r="Y54" s="2"/>
      <c r="Z54" s="7">
        <f t="shared" si="35"/>
        <v>2.9614333333333334</v>
      </c>
    </row>
    <row r="55" spans="1:26" s="28" customFormat="1" outlineLevel="1" collapsed="1" x14ac:dyDescent="0.3">
      <c r="A55" s="27"/>
      <c r="B55" s="14" t="str">
        <f>CONCATENATE("     ","Bad Debts/Over/Short                              ")</f>
        <v xml:space="preserve">     Bad Debts/Over/Short                              </v>
      </c>
      <c r="C55" s="14"/>
      <c r="D55" s="1">
        <f>SUM(OSRRefD22_3x_0)</f>
        <v>0.02</v>
      </c>
      <c r="E55" s="1"/>
      <c r="F55" s="5">
        <f t="shared" si="28"/>
        <v>1.7239521603275508E-6</v>
      </c>
      <c r="G55" s="1"/>
      <c r="H55" s="1">
        <f>SUM(OSRRefH22_3x_0)</f>
        <v>25</v>
      </c>
      <c r="I55" s="1"/>
      <c r="J55" s="5">
        <f t="shared" si="29"/>
        <v>1.1278534692772714E-3</v>
      </c>
      <c r="K55" s="1"/>
      <c r="L55" s="1">
        <f t="shared" si="30"/>
        <v>-24.98</v>
      </c>
      <c r="M55" s="1"/>
      <c r="N55" s="5">
        <f t="shared" si="31"/>
        <v>-0.99919999999999998</v>
      </c>
      <c r="O55" s="14"/>
      <c r="P55" s="1">
        <f>SUM(OSRRefP22_3x_0)</f>
        <v>-3.45</v>
      </c>
      <c r="Q55" s="1"/>
      <c r="R55" s="5">
        <f t="shared" si="32"/>
        <v>-3.6730136342266113E-5</v>
      </c>
      <c r="S55" s="1"/>
      <c r="T55" s="1">
        <f>SUM(OSRRefT22_3x_0)</f>
        <v>150</v>
      </c>
      <c r="U55" s="1"/>
      <c r="V55" s="5">
        <f t="shared" si="33"/>
        <v>5.5152330737496971E-4</v>
      </c>
      <c r="W55" s="1"/>
      <c r="X55" s="1">
        <f t="shared" si="34"/>
        <v>-153.44999999999999</v>
      </c>
      <c r="Y55" s="1"/>
      <c r="Z55" s="5">
        <f t="shared" si="35"/>
        <v>-1.0229999999999999</v>
      </c>
    </row>
    <row r="56" spans="1:26" s="24" customFormat="1" hidden="1" outlineLevel="2" x14ac:dyDescent="0.3">
      <c r="A56" s="29"/>
      <c r="B56" s="11" t="str">
        <f>CONCATENATE("          ", "6272", " - ", "CASH (OVER/SHORT)")</f>
        <v xml:space="preserve">          6272 - CASH (OVER/SHORT)</v>
      </c>
      <c r="C56" s="11"/>
      <c r="D56" s="6">
        <v>0.02</v>
      </c>
      <c r="E56" s="2"/>
      <c r="F56" s="7">
        <f t="shared" si="28"/>
        <v>1.7239521603275508E-6</v>
      </c>
      <c r="G56" s="2"/>
      <c r="H56" s="6">
        <v>25</v>
      </c>
      <c r="I56" s="2"/>
      <c r="J56" s="7">
        <f t="shared" si="29"/>
        <v>1.1278534692772714E-3</v>
      </c>
      <c r="K56" s="2"/>
      <c r="L56" s="6">
        <f t="shared" si="30"/>
        <v>-24.98</v>
      </c>
      <c r="M56" s="2"/>
      <c r="N56" s="7">
        <f t="shared" si="31"/>
        <v>-0.99919999999999998</v>
      </c>
      <c r="O56" s="11"/>
      <c r="P56" s="6">
        <v>-3.45</v>
      </c>
      <c r="Q56" s="2"/>
      <c r="R56" s="7">
        <f t="shared" si="32"/>
        <v>-3.6730136342266113E-5</v>
      </c>
      <c r="S56" s="2"/>
      <c r="T56" s="6">
        <v>150</v>
      </c>
      <c r="U56" s="2"/>
      <c r="V56" s="7">
        <f t="shared" si="33"/>
        <v>5.5152330737496971E-4</v>
      </c>
      <c r="W56" s="2"/>
      <c r="X56" s="6">
        <f t="shared" si="34"/>
        <v>-153.44999999999999</v>
      </c>
      <c r="Y56" s="2"/>
      <c r="Z56" s="7">
        <f t="shared" si="35"/>
        <v>-1.0229999999999999</v>
      </c>
    </row>
    <row r="57" spans="1:26" s="28" customFormat="1" outlineLevel="1" collapsed="1" x14ac:dyDescent="0.3">
      <c r="A57" s="27"/>
      <c r="B57" s="14" t="str">
        <f>CONCATENATE("     ","Bank/card Fees                                    ")</f>
        <v xml:space="preserve">     Bank/card Fees                                    </v>
      </c>
      <c r="C57" s="14"/>
      <c r="D57" s="1">
        <f>SUM(OSRRefD22_4x_0)</f>
        <v>0</v>
      </c>
      <c r="E57" s="1"/>
      <c r="F57" s="5">
        <f t="shared" si="28"/>
        <v>0</v>
      </c>
      <c r="G57" s="1"/>
      <c r="H57" s="1">
        <f>SUM(OSRRefH22_4x_0)</f>
        <v>408</v>
      </c>
      <c r="I57" s="1"/>
      <c r="J57" s="5">
        <f t="shared" si="29"/>
        <v>1.8406568618605072E-2</v>
      </c>
      <c r="K57" s="1"/>
      <c r="L57" s="1">
        <f t="shared" si="30"/>
        <v>-408</v>
      </c>
      <c r="M57" s="1"/>
      <c r="N57" s="5">
        <f t="shared" si="31"/>
        <v>-1</v>
      </c>
      <c r="O57" s="14"/>
      <c r="P57" s="1">
        <f>SUM(OSRRefP22_4x_0)</f>
        <v>0</v>
      </c>
      <c r="Q57" s="1"/>
      <c r="R57" s="5">
        <f t="shared" si="32"/>
        <v>0</v>
      </c>
      <c r="S57" s="1"/>
      <c r="T57" s="1">
        <f>SUM(OSRRefT22_4x_0)</f>
        <v>5057</v>
      </c>
      <c r="U57" s="1"/>
      <c r="V57" s="5">
        <f t="shared" si="33"/>
        <v>1.859368910263481E-2</v>
      </c>
      <c r="W57" s="1"/>
      <c r="X57" s="1">
        <f t="shared" si="34"/>
        <v>-5057</v>
      </c>
      <c r="Y57" s="1"/>
      <c r="Z57" s="5">
        <f t="shared" si="35"/>
        <v>-1</v>
      </c>
    </row>
    <row r="58" spans="1:26" s="24" customFormat="1" hidden="1" outlineLevel="2" x14ac:dyDescent="0.3">
      <c r="A58" s="29"/>
      <c r="B58" s="11" t="str">
        <f>CONCATENATE("          ", "6381", " - ", "BANK/CREDIT CARD FEES")</f>
        <v xml:space="preserve">          6381 - BANK/CREDIT CARD FEES</v>
      </c>
      <c r="C58" s="11"/>
      <c r="D58" s="6"/>
      <c r="E58" s="2"/>
      <c r="F58" s="7">
        <f t="shared" si="28"/>
        <v>0</v>
      </c>
      <c r="G58" s="2"/>
      <c r="H58" s="6">
        <v>408</v>
      </c>
      <c r="I58" s="2"/>
      <c r="J58" s="7">
        <f t="shared" si="29"/>
        <v>1.8406568618605072E-2</v>
      </c>
      <c r="K58" s="2"/>
      <c r="L58" s="6">
        <f t="shared" si="30"/>
        <v>-408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5057</v>
      </c>
      <c r="U58" s="2"/>
      <c r="V58" s="7">
        <f t="shared" si="33"/>
        <v>1.859368910263481E-2</v>
      </c>
      <c r="W58" s="2"/>
      <c r="X58" s="6">
        <f t="shared" si="34"/>
        <v>-5057</v>
      </c>
      <c r="Y58" s="2"/>
      <c r="Z58" s="7">
        <f t="shared" si="35"/>
        <v>-1</v>
      </c>
    </row>
    <row r="59" spans="1:26" s="28" customFormat="1" outlineLevel="1" collapsed="1" x14ac:dyDescent="0.3">
      <c r="A59" s="27"/>
      <c r="B59" s="14" t="str">
        <f>CONCATENATE("     ","Discounts and Markdowns                           ")</f>
        <v xml:space="preserve">     Discounts and Markdowns                           </v>
      </c>
      <c r="C59" s="14"/>
      <c r="D59" s="1">
        <f>SUM(OSRRefD22_5x_0)</f>
        <v>12.46</v>
      </c>
      <c r="E59" s="1"/>
      <c r="F59" s="5">
        <f t="shared" si="28"/>
        <v>1.0740221958840644E-3</v>
      </c>
      <c r="G59" s="1"/>
      <c r="H59" s="1">
        <f>SUM(OSRRefH22_5x_0)</f>
        <v>0</v>
      </c>
      <c r="I59" s="1"/>
      <c r="J59" s="5">
        <f t="shared" si="29"/>
        <v>0</v>
      </c>
      <c r="K59" s="1"/>
      <c r="L59" s="1">
        <f t="shared" si="30"/>
        <v>12.46</v>
      </c>
      <c r="M59" s="1"/>
      <c r="N59" s="5">
        <f t="shared" si="31"/>
        <v>0</v>
      </c>
      <c r="O59" s="14"/>
      <c r="P59" s="1">
        <f>SUM(OSRRefP22_5x_0)</f>
        <v>-28.89</v>
      </c>
      <c r="Q59" s="1"/>
      <c r="R59" s="5">
        <f t="shared" si="32"/>
        <v>-3.0757496780523707E-4</v>
      </c>
      <c r="S59" s="1"/>
      <c r="T59" s="1">
        <f>SUM(OSRRefT22_5x_0)</f>
        <v>0</v>
      </c>
      <c r="U59" s="1"/>
      <c r="V59" s="5">
        <f t="shared" si="33"/>
        <v>0</v>
      </c>
      <c r="W59" s="1"/>
      <c r="X59" s="1">
        <f t="shared" si="34"/>
        <v>-28.89</v>
      </c>
      <c r="Y59" s="1"/>
      <c r="Z59" s="5">
        <f t="shared" si="35"/>
        <v>0</v>
      </c>
    </row>
    <row r="60" spans="1:26" s="24" customFormat="1" hidden="1" outlineLevel="2" x14ac:dyDescent="0.3">
      <c r="A60" s="29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0</v>
      </c>
      <c r="Y60" s="2"/>
      <c r="Z60" s="7">
        <f t="shared" si="35"/>
        <v>0</v>
      </c>
    </row>
    <row r="61" spans="1:26" s="24" customFormat="1" hidden="1" outlineLevel="2" x14ac:dyDescent="0.3">
      <c r="A61" s="29"/>
      <c r="B61" s="11" t="str">
        <f>CONCATENATE("          ", "9175", " - ", "EARNED DISCOUNTS")</f>
        <v xml:space="preserve">          9175 - EARNED DISCOUNTS</v>
      </c>
      <c r="C61" s="11"/>
      <c r="D61" s="6">
        <v>12.46</v>
      </c>
      <c r="E61" s="2"/>
      <c r="F61" s="7">
        <f t="shared" si="28"/>
        <v>1.0740221958840644E-3</v>
      </c>
      <c r="G61" s="2"/>
      <c r="H61" s="6"/>
      <c r="I61" s="2"/>
      <c r="J61" s="7">
        <f t="shared" si="29"/>
        <v>0</v>
      </c>
      <c r="K61" s="2"/>
      <c r="L61" s="6">
        <f t="shared" si="30"/>
        <v>12.46</v>
      </c>
      <c r="M61" s="2"/>
      <c r="N61" s="7">
        <f t="shared" si="31"/>
        <v>0</v>
      </c>
      <c r="O61" s="11"/>
      <c r="P61" s="6">
        <v>-28.89</v>
      </c>
      <c r="Q61" s="2"/>
      <c r="R61" s="7">
        <f t="shared" si="32"/>
        <v>-3.0757496780523707E-4</v>
      </c>
      <c r="S61" s="2"/>
      <c r="T61" s="6"/>
      <c r="U61" s="2"/>
      <c r="V61" s="7">
        <f t="shared" si="33"/>
        <v>0</v>
      </c>
      <c r="W61" s="2"/>
      <c r="X61" s="6">
        <f t="shared" si="34"/>
        <v>-28.89</v>
      </c>
      <c r="Y61" s="2"/>
      <c r="Z61" s="7">
        <f t="shared" si="35"/>
        <v>0</v>
      </c>
    </row>
    <row r="62" spans="1:26" s="28" customFormat="1" outlineLevel="1" collapsed="1" x14ac:dyDescent="0.3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SUM(OSRRefD22_6x_0)</f>
        <v>0</v>
      </c>
      <c r="E62" s="1"/>
      <c r="F62" s="5">
        <f t="shared" ref="F62:F70" si="36">IF(D$12=0,0,D62/D$12)</f>
        <v>0</v>
      </c>
      <c r="G62" s="1"/>
      <c r="H62" s="1">
        <f>SUM(OSRRefH22_6x_0)</f>
        <v>0</v>
      </c>
      <c r="I62" s="1"/>
      <c r="J62" s="5">
        <f t="shared" ref="J62:J70" si="37">IF(H$12=0,0,H62/H$12)</f>
        <v>0</v>
      </c>
      <c r="K62" s="1"/>
      <c r="L62" s="1">
        <f t="shared" ref="L62:L70" si="38">+D62-H62</f>
        <v>0</v>
      </c>
      <c r="M62" s="1"/>
      <c r="N62" s="5">
        <f t="shared" ref="N62:N70" si="39">IF(H62=0,0,L62/H62)</f>
        <v>0</v>
      </c>
      <c r="O62" s="14"/>
      <c r="P62" s="1">
        <f>SUM(OSRRefP22_6x_0)</f>
        <v>54.5</v>
      </c>
      <c r="Q62" s="1"/>
      <c r="R62" s="5">
        <f t="shared" ref="R62:R70" si="40">IF(P$12=0,0,P62/P$12)</f>
        <v>5.8022969004449369E-4</v>
      </c>
      <c r="S62" s="1"/>
      <c r="T62" s="1">
        <f>SUM(OSRRefT22_6x_0)</f>
        <v>0</v>
      </c>
      <c r="U62" s="1"/>
      <c r="V62" s="5">
        <f t="shared" ref="V62:V70" si="41">IF(T$12=0,0,T62/T$12)</f>
        <v>0</v>
      </c>
      <c r="W62" s="1"/>
      <c r="X62" s="1">
        <f t="shared" ref="X62:X70" si="42">+P62-T62</f>
        <v>54.5</v>
      </c>
      <c r="Y62" s="1"/>
      <c r="Z62" s="5">
        <f t="shared" ref="Z62:Z70" si="43">IF(T62=0,0,X62/T62)</f>
        <v>0</v>
      </c>
    </row>
    <row r="63" spans="1:26" s="24" customFormat="1" hidden="1" outlineLevel="2" x14ac:dyDescent="0.3">
      <c r="A63" s="29"/>
      <c r="B63" s="11" t="str">
        <f>CONCATENATE("          ", "6307", " - ", "POSTAGE")</f>
        <v xml:space="preserve">          6307 - POSTAGE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54.5</v>
      </c>
      <c r="Q63" s="2"/>
      <c r="R63" s="7">
        <f t="shared" si="40"/>
        <v>5.8022969004449369E-4</v>
      </c>
      <c r="S63" s="2"/>
      <c r="T63" s="6"/>
      <c r="U63" s="2"/>
      <c r="V63" s="7">
        <f t="shared" si="41"/>
        <v>0</v>
      </c>
      <c r="W63" s="2"/>
      <c r="X63" s="6">
        <f t="shared" si="42"/>
        <v>54.5</v>
      </c>
      <c r="Y63" s="2"/>
      <c r="Z63" s="7">
        <f t="shared" si="43"/>
        <v>0</v>
      </c>
    </row>
    <row r="64" spans="1:26" s="28" customFormat="1" outlineLevel="1" collapsed="1" x14ac:dyDescent="0.3">
      <c r="A64" s="27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SUM(OSRRefD22_7x_0)</f>
        <v>160</v>
      </c>
      <c r="E64" s="1"/>
      <c r="F64" s="5">
        <f t="shared" si="36"/>
        <v>1.3791617282620407E-2</v>
      </c>
      <c r="G64" s="1"/>
      <c r="H64" s="1">
        <f>SUM(OSRRefH22_7x_0)</f>
        <v>0</v>
      </c>
      <c r="I64" s="1"/>
      <c r="J64" s="5">
        <f t="shared" si="37"/>
        <v>0</v>
      </c>
      <c r="K64" s="1"/>
      <c r="L64" s="1">
        <f t="shared" si="38"/>
        <v>160</v>
      </c>
      <c r="M64" s="1"/>
      <c r="N64" s="5">
        <f t="shared" si="39"/>
        <v>0</v>
      </c>
      <c r="O64" s="14"/>
      <c r="P64" s="1">
        <f>SUM(OSRRefP22_7x_0)</f>
        <v>388.04</v>
      </c>
      <c r="Q64" s="1"/>
      <c r="R64" s="5">
        <f t="shared" si="40"/>
        <v>4.1312353931167948E-3</v>
      </c>
      <c r="S64" s="1"/>
      <c r="T64" s="1">
        <f>SUM(OSRRefT22_7x_0)</f>
        <v>0</v>
      </c>
      <c r="U64" s="1"/>
      <c r="V64" s="5">
        <f t="shared" si="41"/>
        <v>0</v>
      </c>
      <c r="W64" s="1"/>
      <c r="X64" s="1">
        <f t="shared" si="42"/>
        <v>388.04</v>
      </c>
      <c r="Y64" s="1"/>
      <c r="Z64" s="5">
        <f t="shared" si="43"/>
        <v>0</v>
      </c>
    </row>
    <row r="65" spans="1:26" s="24" customFormat="1" hidden="1" outlineLevel="2" x14ac:dyDescent="0.3">
      <c r="A65" s="29"/>
      <c r="B65" s="11" t="str">
        <f>CONCATENATE("          ", "6279", " - ", "GENERAL EXPENSE")</f>
        <v xml:space="preserve">          6279 - GENERAL EXPENSE</v>
      </c>
      <c r="C65" s="11"/>
      <c r="D65" s="6">
        <v>160</v>
      </c>
      <c r="E65" s="2"/>
      <c r="F65" s="7">
        <f t="shared" si="36"/>
        <v>1.3791617282620407E-2</v>
      </c>
      <c r="G65" s="2"/>
      <c r="H65" s="6">
        <v>0</v>
      </c>
      <c r="I65" s="2"/>
      <c r="J65" s="7">
        <f t="shared" si="37"/>
        <v>0</v>
      </c>
      <c r="K65" s="2"/>
      <c r="L65" s="6">
        <f t="shared" si="38"/>
        <v>160</v>
      </c>
      <c r="M65" s="2"/>
      <c r="N65" s="7">
        <f t="shared" si="39"/>
        <v>0</v>
      </c>
      <c r="O65" s="11"/>
      <c r="P65" s="6">
        <v>388.04</v>
      </c>
      <c r="Q65" s="2"/>
      <c r="R65" s="7">
        <f t="shared" si="40"/>
        <v>4.1312353931167948E-3</v>
      </c>
      <c r="S65" s="2"/>
      <c r="T65" s="6">
        <v>0</v>
      </c>
      <c r="U65" s="2"/>
      <c r="V65" s="7">
        <f t="shared" si="41"/>
        <v>0</v>
      </c>
      <c r="W65" s="2"/>
      <c r="X65" s="6">
        <f t="shared" si="42"/>
        <v>388.04</v>
      </c>
      <c r="Y65" s="2"/>
      <c r="Z65" s="7">
        <f t="shared" si="43"/>
        <v>0</v>
      </c>
    </row>
    <row r="66" spans="1:26" s="28" customFormat="1" outlineLevel="1" collapsed="1" x14ac:dyDescent="0.3">
      <c r="A66" s="27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SUM(OSRRefD22_8x_0)</f>
        <v>650</v>
      </c>
      <c r="E66" s="1"/>
      <c r="F66" s="5">
        <f t="shared" si="36"/>
        <v>5.6028445210645407E-2</v>
      </c>
      <c r="G66" s="1"/>
      <c r="H66" s="1">
        <f>SUM(OSRRefH22_8x_0)</f>
        <v>650</v>
      </c>
      <c r="I66" s="1"/>
      <c r="J66" s="5">
        <f t="shared" si="37"/>
        <v>2.932419020120906E-2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SUM(OSRRefP22_8x_0)</f>
        <v>3900</v>
      </c>
      <c r="Q66" s="1"/>
      <c r="R66" s="5">
        <f t="shared" si="40"/>
        <v>4.152102369125734E-2</v>
      </c>
      <c r="S66" s="1"/>
      <c r="T66" s="1">
        <f>SUM(OSRRefT22_8x_0)</f>
        <v>3900</v>
      </c>
      <c r="U66" s="1"/>
      <c r="V66" s="5">
        <f t="shared" si="41"/>
        <v>1.4339605991749211E-2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3">
      <c r="A67" s="29"/>
      <c r="B67" s="11" t="str">
        <f>CONCATENATE("          ", "6408", " - ", "INVENTORY ADJUSTMENT")</f>
        <v xml:space="preserve">          6408 - INVENTORY ADJUSTMENT</v>
      </c>
      <c r="C67" s="11"/>
      <c r="D67" s="6">
        <v>650</v>
      </c>
      <c r="E67" s="2"/>
      <c r="F67" s="7">
        <f t="shared" si="36"/>
        <v>5.6028445210645407E-2</v>
      </c>
      <c r="G67" s="2"/>
      <c r="H67" s="6">
        <v>650</v>
      </c>
      <c r="I67" s="2"/>
      <c r="J67" s="7">
        <f t="shared" si="37"/>
        <v>2.932419020120906E-2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3900</v>
      </c>
      <c r="Q67" s="2"/>
      <c r="R67" s="7">
        <f t="shared" si="40"/>
        <v>4.152102369125734E-2</v>
      </c>
      <c r="S67" s="2"/>
      <c r="T67" s="6">
        <v>3900</v>
      </c>
      <c r="U67" s="2"/>
      <c r="V67" s="7">
        <f t="shared" si="41"/>
        <v>1.4339605991749211E-2</v>
      </c>
      <c r="W67" s="2"/>
      <c r="X67" s="6">
        <f t="shared" si="42"/>
        <v>0</v>
      </c>
      <c r="Y67" s="2"/>
      <c r="Z67" s="7">
        <f t="shared" si="43"/>
        <v>0</v>
      </c>
    </row>
    <row r="68" spans="1:26" s="28" customFormat="1" outlineLevel="1" collapsed="1" x14ac:dyDescent="0.3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SUM(OSRRefD22_9x_0)</f>
        <v>139.06</v>
      </c>
      <c r="E68" s="1"/>
      <c r="F68" s="5">
        <f t="shared" si="36"/>
        <v>1.1986639370757462E-2</v>
      </c>
      <c r="G68" s="1"/>
      <c r="H68" s="1">
        <f>SUM(OSRRefH22_9x_0)</f>
        <v>0</v>
      </c>
      <c r="I68" s="1"/>
      <c r="J68" s="5">
        <f t="shared" si="37"/>
        <v>0</v>
      </c>
      <c r="K68" s="1"/>
      <c r="L68" s="1">
        <f t="shared" si="38"/>
        <v>139.06</v>
      </c>
      <c r="M68" s="1"/>
      <c r="N68" s="5">
        <f t="shared" si="39"/>
        <v>0</v>
      </c>
      <c r="O68" s="14"/>
      <c r="P68" s="1">
        <f>SUM(OSRRefP22_9x_0)</f>
        <v>383.39</v>
      </c>
      <c r="Q68" s="1"/>
      <c r="R68" s="5">
        <f t="shared" si="40"/>
        <v>4.0817295571772185E-3</v>
      </c>
      <c r="S68" s="1"/>
      <c r="T68" s="1">
        <f>SUM(OSRRefT22_9x_0)</f>
        <v>0</v>
      </c>
      <c r="U68" s="1"/>
      <c r="V68" s="5">
        <f t="shared" si="41"/>
        <v>0</v>
      </c>
      <c r="W68" s="1"/>
      <c r="X68" s="1">
        <f t="shared" si="42"/>
        <v>383.39</v>
      </c>
      <c r="Y68" s="1"/>
      <c r="Z68" s="5">
        <f t="shared" si="43"/>
        <v>0</v>
      </c>
    </row>
    <row r="69" spans="1:26" s="24" customFormat="1" hidden="1" outlineLevel="2" x14ac:dyDescent="0.3">
      <c r="A69" s="29"/>
      <c r="B69" s="11" t="str">
        <f>CONCATENATE("          ", "6373", " - ", "MAINTENANCE CONTRACTS")</f>
        <v xml:space="preserve">          6373 - MAINTENANCE CONTRACTS</v>
      </c>
      <c r="C69" s="11"/>
      <c r="D69" s="6">
        <v>139.06</v>
      </c>
      <c r="E69" s="2"/>
      <c r="F69" s="7">
        <f t="shared" si="36"/>
        <v>1.1986639370757462E-2</v>
      </c>
      <c r="G69" s="2"/>
      <c r="H69" s="6"/>
      <c r="I69" s="2"/>
      <c r="J69" s="7">
        <f t="shared" si="37"/>
        <v>0</v>
      </c>
      <c r="K69" s="2"/>
      <c r="L69" s="6">
        <f t="shared" si="38"/>
        <v>139.06</v>
      </c>
      <c r="M69" s="2"/>
      <c r="N69" s="7">
        <f t="shared" si="39"/>
        <v>0</v>
      </c>
      <c r="O69" s="11"/>
      <c r="P69" s="6">
        <v>200.17</v>
      </c>
      <c r="Q69" s="2"/>
      <c r="R69" s="7">
        <f t="shared" si="40"/>
        <v>2.1310931569946106E-3</v>
      </c>
      <c r="S69" s="2"/>
      <c r="T69" s="6"/>
      <c r="U69" s="2"/>
      <c r="V69" s="7">
        <f t="shared" si="41"/>
        <v>0</v>
      </c>
      <c r="W69" s="2"/>
      <c r="X69" s="6">
        <f t="shared" si="42"/>
        <v>200.17</v>
      </c>
      <c r="Y69" s="2"/>
      <c r="Z69" s="7">
        <f t="shared" si="43"/>
        <v>0</v>
      </c>
    </row>
    <row r="70" spans="1:26" s="24" customFormat="1" hidden="1" outlineLevel="2" x14ac:dyDescent="0.3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183.22</v>
      </c>
      <c r="Q70" s="2"/>
      <c r="R70" s="7">
        <f t="shared" si="40"/>
        <v>1.9506364001826077E-3</v>
      </c>
      <c r="S70" s="2"/>
      <c r="T70" s="6"/>
      <c r="U70" s="2"/>
      <c r="V70" s="7">
        <f t="shared" si="41"/>
        <v>0</v>
      </c>
      <c r="W70" s="2"/>
      <c r="X70" s="6">
        <f t="shared" si="42"/>
        <v>183.22</v>
      </c>
      <c r="Y70" s="2"/>
      <c r="Z70" s="7">
        <f t="shared" si="43"/>
        <v>0</v>
      </c>
    </row>
    <row r="71" spans="1:26" s="28" customFormat="1" outlineLevel="1" collapsed="1" x14ac:dyDescent="0.3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SUM(OSRRefD22_10x_0)</f>
        <v>273.81</v>
      </c>
      <c r="E71" s="1"/>
      <c r="F71" s="5">
        <f t="shared" ref="F71:F73" si="44">IF(D$12=0,0,D71/D$12)</f>
        <v>2.3601767050964336E-2</v>
      </c>
      <c r="G71" s="1"/>
      <c r="H71" s="1">
        <f>SUM(OSRRefH22_10x_0)</f>
        <v>0</v>
      </c>
      <c r="I71" s="1"/>
      <c r="J71" s="5">
        <f t="shared" ref="J71:J73" si="45">IF(H$12=0,0,H71/H$12)</f>
        <v>0</v>
      </c>
      <c r="K71" s="1"/>
      <c r="L71" s="1">
        <f t="shared" ref="L71:L73" si="46">+D71-H71</f>
        <v>273.81</v>
      </c>
      <c r="M71" s="1"/>
      <c r="N71" s="5">
        <f t="shared" ref="N71:N73" si="47">IF(H71=0,0,L71/H71)</f>
        <v>0</v>
      </c>
      <c r="O71" s="14"/>
      <c r="P71" s="1">
        <f>SUM(OSRRefP22_10x_0)</f>
        <v>3437.25</v>
      </c>
      <c r="Q71" s="1"/>
      <c r="R71" s="5">
        <f t="shared" ref="R71:R73" si="48">IF(P$12=0,0,P71/P$12)</f>
        <v>3.6594394534044693E-2</v>
      </c>
      <c r="S71" s="1"/>
      <c r="T71" s="1">
        <f>SUM(OSRRefT22_10x_0)</f>
        <v>0</v>
      </c>
      <c r="U71" s="1"/>
      <c r="V71" s="5">
        <f t="shared" ref="V71:V73" si="49">IF(T$12=0,0,T71/T$12)</f>
        <v>0</v>
      </c>
      <c r="W71" s="1"/>
      <c r="X71" s="1">
        <f t="shared" ref="X71:X73" si="50">+P71-T71</f>
        <v>3437.25</v>
      </c>
      <c r="Y71" s="1"/>
      <c r="Z71" s="5">
        <f t="shared" ref="Z71:Z73" si="51">IF(T71=0,0,X71/T71)</f>
        <v>0</v>
      </c>
    </row>
    <row r="72" spans="1:26" s="24" customFormat="1" hidden="1" outlineLevel="2" x14ac:dyDescent="0.3">
      <c r="A72" s="29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138</v>
      </c>
      <c r="E72" s="2"/>
      <c r="F72" s="7">
        <f t="shared" si="44"/>
        <v>1.1895269906260102E-2</v>
      </c>
      <c r="G72" s="2"/>
      <c r="H72" s="6"/>
      <c r="I72" s="2"/>
      <c r="J72" s="7">
        <f t="shared" si="45"/>
        <v>0</v>
      </c>
      <c r="K72" s="2"/>
      <c r="L72" s="6">
        <f t="shared" si="46"/>
        <v>138</v>
      </c>
      <c r="M72" s="2"/>
      <c r="N72" s="7">
        <f t="shared" si="47"/>
        <v>0</v>
      </c>
      <c r="O72" s="11"/>
      <c r="P72" s="6">
        <v>629.6</v>
      </c>
      <c r="Q72" s="2"/>
      <c r="R72" s="7">
        <f t="shared" si="48"/>
        <v>6.702983722055288E-3</v>
      </c>
      <c r="S72" s="2"/>
      <c r="T72" s="6"/>
      <c r="U72" s="2"/>
      <c r="V72" s="7">
        <f t="shared" si="49"/>
        <v>0</v>
      </c>
      <c r="W72" s="2"/>
      <c r="X72" s="6">
        <f t="shared" si="50"/>
        <v>629.6</v>
      </c>
      <c r="Y72" s="2"/>
      <c r="Z72" s="7">
        <f t="shared" si="51"/>
        <v>0</v>
      </c>
    </row>
    <row r="73" spans="1:26" s="24" customFormat="1" hidden="1" outlineLevel="2" x14ac:dyDescent="0.3">
      <c r="A73" s="29"/>
      <c r="B73" s="11" t="str">
        <f>CONCATENATE("          ", "6285", " - ", "JANITORIAL SERVICES")</f>
        <v xml:space="preserve">          6285 - JANITORIAL SERVICES</v>
      </c>
      <c r="C73" s="11"/>
      <c r="D73" s="6">
        <v>135.81</v>
      </c>
      <c r="E73" s="2"/>
      <c r="F73" s="7">
        <f t="shared" si="44"/>
        <v>1.1706497144704234E-2</v>
      </c>
      <c r="G73" s="2"/>
      <c r="H73" s="6"/>
      <c r="I73" s="2"/>
      <c r="J73" s="7">
        <f t="shared" si="45"/>
        <v>0</v>
      </c>
      <c r="K73" s="2"/>
      <c r="L73" s="6">
        <f t="shared" si="46"/>
        <v>135.81</v>
      </c>
      <c r="M73" s="2"/>
      <c r="N73" s="7">
        <f t="shared" si="47"/>
        <v>0</v>
      </c>
      <c r="O73" s="11"/>
      <c r="P73" s="6">
        <v>2807.65</v>
      </c>
      <c r="Q73" s="2"/>
      <c r="R73" s="7">
        <f t="shared" si="48"/>
        <v>2.9891410811989406E-2</v>
      </c>
      <c r="S73" s="2"/>
      <c r="T73" s="6"/>
      <c r="U73" s="2"/>
      <c r="V73" s="7">
        <f t="shared" si="49"/>
        <v>0</v>
      </c>
      <c r="W73" s="2"/>
      <c r="X73" s="6">
        <f t="shared" si="50"/>
        <v>2807.65</v>
      </c>
      <c r="Y73" s="2"/>
      <c r="Z73" s="7">
        <f t="shared" si="51"/>
        <v>0</v>
      </c>
    </row>
    <row r="74" spans="1:26" s="28" customFormat="1" outlineLevel="1" collapsed="1" x14ac:dyDescent="0.3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SUM(OSRRefD22_11x_0)</f>
        <v>11.03</v>
      </c>
      <c r="E74" s="1"/>
      <c r="F74" s="5">
        <f t="shared" ref="F74:F78" si="52">IF(D$12=0,0,D74/D$12)</f>
        <v>9.5075961642064426E-4</v>
      </c>
      <c r="G74" s="1"/>
      <c r="H74" s="1">
        <f>SUM(OSRRefH22_11x_0)</f>
        <v>75</v>
      </c>
      <c r="I74" s="1"/>
      <c r="J74" s="5">
        <f t="shared" ref="J74:J78" si="53">IF(H$12=0,0,H74/H$12)</f>
        <v>3.3835604078318146E-3</v>
      </c>
      <c r="K74" s="1"/>
      <c r="L74" s="1">
        <f t="shared" ref="L74:L78" si="54">+D74-H74</f>
        <v>-63.97</v>
      </c>
      <c r="M74" s="1"/>
      <c r="N74" s="5">
        <f t="shared" ref="N74:N78" si="55">IF(H74=0,0,L74/H74)</f>
        <v>-0.85293333333333332</v>
      </c>
      <c r="O74" s="14"/>
      <c r="P74" s="1">
        <f>SUM(OSRRefP22_11x_0)</f>
        <v>1747.49</v>
      </c>
      <c r="Q74" s="1"/>
      <c r="R74" s="5">
        <f t="shared" ref="R74:R78" si="56">IF(P$12=0,0,P74/P$12)</f>
        <v>1.8604506074419307E-2</v>
      </c>
      <c r="S74" s="1"/>
      <c r="T74" s="1">
        <f>SUM(OSRRefT22_11x_0)</f>
        <v>450</v>
      </c>
      <c r="U74" s="1"/>
      <c r="V74" s="5">
        <f t="shared" ref="V74:V78" si="57">IF(T$12=0,0,T74/T$12)</f>
        <v>1.654569922124909E-3</v>
      </c>
      <c r="W74" s="1"/>
      <c r="X74" s="1">
        <f t="shared" ref="X74:X78" si="58">+P74-T74</f>
        <v>1297.49</v>
      </c>
      <c r="Y74" s="1"/>
      <c r="Z74" s="5">
        <f t="shared" ref="Z74:Z78" si="59">IF(T74=0,0,X74/T74)</f>
        <v>2.8833111111111109</v>
      </c>
    </row>
    <row r="75" spans="1:26" s="24" customFormat="1" hidden="1" outlineLevel="2" x14ac:dyDescent="0.3">
      <c r="A75" s="29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1393.55</v>
      </c>
      <c r="Q75" s="2"/>
      <c r="R75" s="7">
        <f t="shared" si="56"/>
        <v>1.4836313478192736E-2</v>
      </c>
      <c r="S75" s="2"/>
      <c r="T75" s="6"/>
      <c r="U75" s="2"/>
      <c r="V75" s="7">
        <f t="shared" si="57"/>
        <v>0</v>
      </c>
      <c r="W75" s="2"/>
      <c r="X75" s="6">
        <f t="shared" si="58"/>
        <v>1393.55</v>
      </c>
      <c r="Y75" s="2"/>
      <c r="Z75" s="7">
        <f t="shared" si="59"/>
        <v>0</v>
      </c>
    </row>
    <row r="76" spans="1:26" s="24" customFormat="1" hidden="1" outlineLevel="2" x14ac:dyDescent="0.3">
      <c r="A76" s="29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52"/>
        <v>0</v>
      </c>
      <c r="G76" s="2"/>
      <c r="H76" s="6">
        <v>25</v>
      </c>
      <c r="I76" s="2"/>
      <c r="J76" s="7">
        <f t="shared" si="53"/>
        <v>1.1278534692772714E-3</v>
      </c>
      <c r="K76" s="2"/>
      <c r="L76" s="6">
        <f t="shared" si="54"/>
        <v>-25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150</v>
      </c>
      <c r="U76" s="2"/>
      <c r="V76" s="7">
        <f t="shared" si="57"/>
        <v>5.5152330737496971E-4</v>
      </c>
      <c r="W76" s="2"/>
      <c r="X76" s="6">
        <f t="shared" si="58"/>
        <v>-150</v>
      </c>
      <c r="Y76" s="2"/>
      <c r="Z76" s="7">
        <f t="shared" si="59"/>
        <v>-1</v>
      </c>
    </row>
    <row r="77" spans="1:26" s="24" customFormat="1" hidden="1" outlineLevel="2" x14ac:dyDescent="0.3">
      <c r="A77" s="29"/>
      <c r="B77" s="11" t="str">
        <f>CONCATENATE("          ", "6241", " - ", "OFFICE EXPENSE")</f>
        <v xml:space="preserve">          6241 - OFFICE EXPENSE</v>
      </c>
      <c r="C77" s="11"/>
      <c r="D77" s="6">
        <v>11.03</v>
      </c>
      <c r="E77" s="2"/>
      <c r="F77" s="7">
        <f t="shared" si="52"/>
        <v>9.5075961642064426E-4</v>
      </c>
      <c r="G77" s="2"/>
      <c r="H77" s="6">
        <v>25</v>
      </c>
      <c r="I77" s="2"/>
      <c r="J77" s="7">
        <f t="shared" si="53"/>
        <v>1.1278534692772714E-3</v>
      </c>
      <c r="K77" s="2"/>
      <c r="L77" s="6">
        <f t="shared" si="54"/>
        <v>-13.97</v>
      </c>
      <c r="M77" s="2"/>
      <c r="N77" s="7">
        <f t="shared" si="55"/>
        <v>-0.55880000000000007</v>
      </c>
      <c r="O77" s="11"/>
      <c r="P77" s="6">
        <v>11.03</v>
      </c>
      <c r="Q77" s="2"/>
      <c r="R77" s="7">
        <f t="shared" si="56"/>
        <v>1.1742997213194064E-4</v>
      </c>
      <c r="S77" s="2"/>
      <c r="T77" s="6">
        <v>150</v>
      </c>
      <c r="U77" s="2"/>
      <c r="V77" s="7">
        <f t="shared" si="57"/>
        <v>5.5152330737496971E-4</v>
      </c>
      <c r="W77" s="2"/>
      <c r="X77" s="6">
        <f t="shared" si="58"/>
        <v>-138.97</v>
      </c>
      <c r="Y77" s="2"/>
      <c r="Z77" s="7">
        <f t="shared" si="59"/>
        <v>-0.92646666666666666</v>
      </c>
    </row>
    <row r="78" spans="1:26" s="24" customFormat="1" hidden="1" outlineLevel="2" x14ac:dyDescent="0.3">
      <c r="A78" s="29"/>
      <c r="B78" s="11" t="str">
        <f>CONCATENATE("          ", "6247", " - ", "STORE SUPPLIES")</f>
        <v xml:space="preserve">          6247 - STORE SUPPLIES</v>
      </c>
      <c r="C78" s="11"/>
      <c r="D78" s="6"/>
      <c r="E78" s="2"/>
      <c r="F78" s="7">
        <f t="shared" si="52"/>
        <v>0</v>
      </c>
      <c r="G78" s="2"/>
      <c r="H78" s="6">
        <v>25</v>
      </c>
      <c r="I78" s="2"/>
      <c r="J78" s="7">
        <f t="shared" si="53"/>
        <v>1.1278534692772714E-3</v>
      </c>
      <c r="K78" s="2"/>
      <c r="L78" s="6">
        <f t="shared" si="54"/>
        <v>-25</v>
      </c>
      <c r="M78" s="2"/>
      <c r="N78" s="7">
        <f t="shared" si="55"/>
        <v>-1</v>
      </c>
      <c r="O78" s="11"/>
      <c r="P78" s="6">
        <v>342.91</v>
      </c>
      <c r="Q78" s="2"/>
      <c r="R78" s="7">
        <f t="shared" si="56"/>
        <v>3.6507626240946298E-3</v>
      </c>
      <c r="S78" s="2"/>
      <c r="T78" s="6">
        <v>150</v>
      </c>
      <c r="U78" s="2"/>
      <c r="V78" s="7">
        <f t="shared" si="57"/>
        <v>5.5152330737496971E-4</v>
      </c>
      <c r="W78" s="2"/>
      <c r="X78" s="6">
        <f t="shared" si="58"/>
        <v>192.91000000000003</v>
      </c>
      <c r="Y78" s="2"/>
      <c r="Z78" s="7">
        <f t="shared" si="59"/>
        <v>1.2860666666666669</v>
      </c>
    </row>
    <row r="79" spans="1:26" s="28" customFormat="1" outlineLevel="1" collapsed="1" x14ac:dyDescent="0.3">
      <c r="A79" s="27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SUM(OSRRefD22_12x_0)</f>
        <v>53</v>
      </c>
      <c r="E79" s="1"/>
      <c r="F79" s="5">
        <f t="shared" ref="F79:F80" si="60">IF(D$12=0,0,D79/D$12)</f>
        <v>4.5684732248680096E-3</v>
      </c>
      <c r="G79" s="1"/>
      <c r="H79" s="1">
        <f>SUM(OSRRefH22_12x_0)</f>
        <v>60</v>
      </c>
      <c r="I79" s="1"/>
      <c r="J79" s="5">
        <f t="shared" ref="J79:J80" si="61">IF(H$12=0,0,H79/H$12)</f>
        <v>2.7068483262654517E-3</v>
      </c>
      <c r="K79" s="1"/>
      <c r="L79" s="1">
        <f t="shared" ref="L79:L80" si="62">+D79-H79</f>
        <v>-7</v>
      </c>
      <c r="M79" s="1"/>
      <c r="N79" s="5">
        <f t="shared" ref="N79:N80" si="63">IF(H79=0,0,L79/H79)</f>
        <v>-0.11666666666666667</v>
      </c>
      <c r="O79" s="14"/>
      <c r="P79" s="1">
        <f>SUM(OSRRefP22_12x_0)</f>
        <v>278</v>
      </c>
      <c r="Q79" s="1"/>
      <c r="R79" s="5">
        <f t="shared" ref="R79:R80" si="64">IF(P$12=0,0,P79/P$12)</f>
        <v>2.959703740043472E-3</v>
      </c>
      <c r="S79" s="1"/>
      <c r="T79" s="1">
        <f>SUM(OSRRefT22_12x_0)</f>
        <v>360</v>
      </c>
      <c r="U79" s="1"/>
      <c r="V79" s="5">
        <f t="shared" ref="V79:V80" si="65">IF(T$12=0,0,T79/T$12)</f>
        <v>1.3236559376999272E-3</v>
      </c>
      <c r="W79" s="1"/>
      <c r="X79" s="1">
        <f t="shared" ref="X79:X80" si="66">+P79-T79</f>
        <v>-82</v>
      </c>
      <c r="Y79" s="1"/>
      <c r="Z79" s="5">
        <f t="shared" ref="Z79:Z80" si="67">IF(T79=0,0,X79/T79)</f>
        <v>-0.22777777777777777</v>
      </c>
    </row>
    <row r="80" spans="1:26" s="24" customFormat="1" hidden="1" outlineLevel="2" x14ac:dyDescent="0.3">
      <c r="A80" s="29"/>
      <c r="B80" s="11" t="str">
        <f>CONCATENATE("          ", "6309", " - ", "TELEPHONE")</f>
        <v xml:space="preserve">          6309 - TELEPHONE</v>
      </c>
      <c r="C80" s="11"/>
      <c r="D80" s="6">
        <v>53</v>
      </c>
      <c r="E80" s="2"/>
      <c r="F80" s="7">
        <f t="shared" si="60"/>
        <v>4.5684732248680096E-3</v>
      </c>
      <c r="G80" s="2"/>
      <c r="H80" s="6">
        <v>60</v>
      </c>
      <c r="I80" s="2"/>
      <c r="J80" s="7">
        <f t="shared" si="61"/>
        <v>2.7068483262654517E-3</v>
      </c>
      <c r="K80" s="2"/>
      <c r="L80" s="6">
        <f t="shared" si="62"/>
        <v>-7</v>
      </c>
      <c r="M80" s="2"/>
      <c r="N80" s="7">
        <f t="shared" si="63"/>
        <v>-0.11666666666666667</v>
      </c>
      <c r="O80" s="11"/>
      <c r="P80" s="6">
        <v>278</v>
      </c>
      <c r="Q80" s="2"/>
      <c r="R80" s="7">
        <f t="shared" si="64"/>
        <v>2.959703740043472E-3</v>
      </c>
      <c r="S80" s="2"/>
      <c r="T80" s="6">
        <v>360</v>
      </c>
      <c r="U80" s="2"/>
      <c r="V80" s="7">
        <f t="shared" si="65"/>
        <v>1.3236559376999272E-3</v>
      </c>
      <c r="W80" s="2"/>
      <c r="X80" s="6">
        <f t="shared" si="66"/>
        <v>-82</v>
      </c>
      <c r="Y80" s="2"/>
      <c r="Z80" s="7">
        <f t="shared" si="67"/>
        <v>-0.22777777777777777</v>
      </c>
    </row>
    <row r="81" spans="1:26" s="55" customFormat="1" x14ac:dyDescent="0.3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5" t="s">
        <v>293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10"/>
      <c r="B84" s="26" t="s">
        <v>277</v>
      </c>
      <c r="C84" s="26"/>
      <c r="D84" s="20">
        <f>+D30-D32+D82</f>
        <v>-2021.2800000000016</v>
      </c>
      <c r="E84" s="13"/>
      <c r="F84" s="22">
        <f>IF(D$12=0,0,D84/D$12)</f>
        <v>-0.17422950113134375</v>
      </c>
      <c r="G84" s="13"/>
      <c r="H84" s="20">
        <f>+H30-H32+H82</f>
        <v>191.384399999999</v>
      </c>
      <c r="I84" s="13"/>
      <c r="J84" s="22">
        <f>IF(H$12=0,0,H84/H$12)</f>
        <v>8.6341423802219174E-3</v>
      </c>
      <c r="K84" s="16"/>
      <c r="L84" s="20">
        <f>+D84-H84</f>
        <v>-2212.6644000000006</v>
      </c>
      <c r="M84" s="16"/>
      <c r="N84" s="22">
        <f>IF(H84=0,0,L84/H84)</f>
        <v>-11.561362368092761</v>
      </c>
      <c r="O84" s="25"/>
      <c r="P84" s="20">
        <f>+P30-P32+P82</f>
        <v>12818.049999999981</v>
      </c>
      <c r="Q84" s="13"/>
      <c r="R84" s="22">
        <f>IF(P$12=0,0,P84/P$12)</f>
        <v>0.13646629685274883</v>
      </c>
      <c r="S84" s="13"/>
      <c r="T84" s="20">
        <f>+T30-T32+T82</f>
        <v>52052.461249999993</v>
      </c>
      <c r="U84" s="13"/>
      <c r="V84" s="22">
        <f>IF(T$12=0,0,T84/T$12)</f>
        <v>0.19138763723738295</v>
      </c>
      <c r="W84" s="16"/>
      <c r="X84" s="20">
        <f>+P84-T84</f>
        <v>-39234.411250000012</v>
      </c>
      <c r="Y84" s="16"/>
      <c r="Z84" s="22">
        <f>IF(T84=0,0,X84/T84)</f>
        <v>-0.75374747529349573</v>
      </c>
    </row>
    <row r="85" spans="1:26" x14ac:dyDescent="0.3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52"/>
      <c r="B86" s="10" t="s">
        <v>128</v>
      </c>
      <c r="C86" s="10"/>
      <c r="D86" s="4">
        <v>1500.11</v>
      </c>
      <c r="E86" s="4"/>
      <c r="F86" s="12">
        <f>IF(D$12=0,0,D86/D$12)</f>
        <v>0.1293058937614481</v>
      </c>
      <c r="G86" s="4"/>
      <c r="H86" s="4">
        <v>3984</v>
      </c>
      <c r="I86" s="4"/>
      <c r="J86" s="12">
        <f>IF(H$12=0,0,H86/H$12)</f>
        <v>0.17973472886402597</v>
      </c>
      <c r="K86" s="4"/>
      <c r="L86" s="4">
        <f>+D86-H86</f>
        <v>-2483.8900000000003</v>
      </c>
      <c r="M86" s="4"/>
      <c r="N86" s="12">
        <f>IF(H86=0,0,L86/H86)</f>
        <v>-0.62346636546184753</v>
      </c>
      <c r="O86" s="10"/>
      <c r="P86" s="4">
        <v>11306.23</v>
      </c>
      <c r="Q86" s="4"/>
      <c r="R86" s="12">
        <f>IF(P$12=0,0,P86/P$12)</f>
        <v>0.12037083171507808</v>
      </c>
      <c r="S86" s="4"/>
      <c r="T86" s="4">
        <v>35213</v>
      </c>
      <c r="U86" s="4"/>
      <c r="V86" s="12">
        <f>IF(T$12=0,0,T86/T$12)</f>
        <v>0.12947193481729871</v>
      </c>
      <c r="W86" s="4"/>
      <c r="X86" s="4">
        <f>+P86-T86</f>
        <v>-23906.77</v>
      </c>
      <c r="Y86" s="4"/>
      <c r="Z86" s="12">
        <f>IF(T86=0,0,X86/T86)</f>
        <v>-0.67891886519183253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6" t="s">
        <v>126</v>
      </c>
      <c r="C88" s="26"/>
      <c r="D88" s="31">
        <f>+D84-D86</f>
        <v>-3521.3900000000012</v>
      </c>
      <c r="E88" s="13"/>
      <c r="F88" s="30">
        <f>IF(D$12=0,0,D88/D$12)</f>
        <v>-0.30353539489279185</v>
      </c>
      <c r="G88" s="13"/>
      <c r="H88" s="31">
        <f>+H84-H86</f>
        <v>-3792.615600000001</v>
      </c>
      <c r="I88" s="13"/>
      <c r="J88" s="30">
        <f>IF(H$12=0,0,H88/H$12)</f>
        <v>-0.17110058648380408</v>
      </c>
      <c r="K88" s="16"/>
      <c r="L88" s="31">
        <f>D88-H88</f>
        <v>271.22559999999976</v>
      </c>
      <c r="M88" s="16"/>
      <c r="N88" s="30">
        <f>IF(H88=0,0,L88/H88)</f>
        <v>-7.1514128666242807E-2</v>
      </c>
      <c r="O88" s="25"/>
      <c r="P88" s="31">
        <f>+P84-P86</f>
        <v>1511.8199999999815</v>
      </c>
      <c r="Q88" s="13"/>
      <c r="R88" s="30">
        <f>IF(P$12=0,0,P88/P$12)</f>
        <v>1.6095465137670746E-2</v>
      </c>
      <c r="S88" s="13"/>
      <c r="T88" s="31">
        <f>+T84-T86</f>
        <v>16839.461249999993</v>
      </c>
      <c r="U88" s="13"/>
      <c r="V88" s="30">
        <f>IF(T$12=0,0,T88/T$12)</f>
        <v>6.1915702420084248E-2</v>
      </c>
      <c r="W88" s="16"/>
      <c r="X88" s="31">
        <f>P88-T88</f>
        <v>-15327.641250000011</v>
      </c>
      <c r="Y88" s="16"/>
      <c r="Z88" s="30">
        <f>IF(T88=0,0,X88/T88)</f>
        <v>-0.9102215933422465</v>
      </c>
    </row>
    <row r="89" spans="1:26" ht="15" thickTop="1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294</v>
      </c>
      <c r="C91" s="26"/>
      <c r="D91" s="35">
        <f>SUM(D88:D90)</f>
        <v>-3521.3900000000012</v>
      </c>
      <c r="E91" s="13"/>
      <c r="F91" s="34">
        <f>IF(D$12=0,0,D91/D$12)</f>
        <v>-0.30353539489279185</v>
      </c>
      <c r="G91" s="13"/>
      <c r="H91" s="35">
        <f>SUM(H88:H90)</f>
        <v>-3792.615600000001</v>
      </c>
      <c r="I91" s="13"/>
      <c r="J91" s="34">
        <f>IF(H$12=0,0,H91/H$12)</f>
        <v>-0.17110058648380408</v>
      </c>
      <c r="K91" s="16"/>
      <c r="L91" s="35">
        <f>+D91-H91</f>
        <v>271.22559999999976</v>
      </c>
      <c r="M91" s="16"/>
      <c r="N91" s="34">
        <f>IF(H91=0,0,L91/H91)</f>
        <v>-7.1514128666242807E-2</v>
      </c>
      <c r="O91" s="25"/>
      <c r="P91" s="35">
        <f>SUM(P88:P90)</f>
        <v>1511.8199999999815</v>
      </c>
      <c r="Q91" s="13"/>
      <c r="R91" s="34">
        <f>IF(P$12=0,0,P91/P$12)</f>
        <v>1.6095465137670746E-2</v>
      </c>
      <c r="S91" s="13"/>
      <c r="T91" s="35">
        <f>SUM(T88:T90)</f>
        <v>16839.461249999993</v>
      </c>
      <c r="U91" s="13"/>
      <c r="V91" s="34">
        <f>IF(T$12=0,0,T91/T$12)</f>
        <v>6.1915702420084248E-2</v>
      </c>
      <c r="W91" s="16"/>
      <c r="X91" s="35">
        <f>+P91-T91</f>
        <v>-15327.641250000011</v>
      </c>
      <c r="Y91" s="16"/>
      <c r="Z91" s="34">
        <f>IF(T91=0,0,X91/T91)</f>
        <v>-0.9102215933422465</v>
      </c>
    </row>
    <row r="92" spans="1:26" ht="15" thickTop="1" x14ac:dyDescent="0.3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3">
      <c r="A93" s="9"/>
      <c r="B93" s="61">
        <v>44575.842114965279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3">
      <c r="A94" s="9"/>
      <c r="B94" s="62" t="s">
        <v>56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3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","307", " - ", "Art Store")</f>
        <v>Department 307 - Art 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11601.25</v>
      </c>
      <c r="E12" s="4"/>
      <c r="F12" s="12"/>
      <c r="G12" s="4"/>
      <c r="H12" s="4">
        <f>SUM(OSRRefH13x_0)</f>
        <v>22166</v>
      </c>
      <c r="I12" s="4"/>
      <c r="J12" s="12"/>
      <c r="K12" s="4"/>
      <c r="L12" s="4">
        <f t="shared" ref="L12:L16" si="0">+D12-H12</f>
        <v>-10564.75</v>
      </c>
      <c r="M12" s="4"/>
      <c r="N12" s="12">
        <f t="shared" ref="N12:N16" si="1">IF(H12=0,0,L12/H12)</f>
        <v>-0.47661959758188216</v>
      </c>
      <c r="O12" s="10"/>
      <c r="P12" s="4">
        <f>SUM(OSRRefP13x_0)</f>
        <v>93928.319999999978</v>
      </c>
      <c r="Q12" s="4"/>
      <c r="R12" s="12"/>
      <c r="S12" s="4"/>
      <c r="T12" s="4">
        <f>SUM(OSRRefT13x_0)</f>
        <v>271974</v>
      </c>
      <c r="U12" s="4"/>
      <c r="V12" s="12"/>
      <c r="W12" s="4"/>
      <c r="X12" s="4">
        <f t="shared" ref="X12:X16" si="2">+P12-T12</f>
        <v>-178045.68000000002</v>
      </c>
      <c r="Y12" s="4"/>
      <c r="Z12" s="12">
        <f t="shared" ref="Z12:Z16" si="3">IF(T12=0,0,X12/T12)</f>
        <v>-0.65464228198283669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--8671.83</f>
        <v>8671.83</v>
      </c>
      <c r="E13" s="2"/>
      <c r="F13" s="19"/>
      <c r="G13" s="2"/>
      <c r="H13" s="2">
        <v>12827</v>
      </c>
      <c r="I13" s="2"/>
      <c r="J13" s="19"/>
      <c r="K13" s="2"/>
      <c r="L13" s="2">
        <f t="shared" si="0"/>
        <v>-4155.17</v>
      </c>
      <c r="M13" s="2"/>
      <c r="N13" s="19">
        <f t="shared" si="1"/>
        <v>-0.32393934669057456</v>
      </c>
      <c r="O13" s="11"/>
      <c r="P13" s="2">
        <f>--69743.31</f>
        <v>69743.31</v>
      </c>
      <c r="Q13" s="2"/>
      <c r="R13" s="19"/>
      <c r="S13" s="2"/>
      <c r="T13" s="2">
        <v>183078</v>
      </c>
      <c r="U13" s="2"/>
      <c r="V13" s="19"/>
      <c r="W13" s="2"/>
      <c r="X13" s="2">
        <f t="shared" si="2"/>
        <v>-113334.69</v>
      </c>
      <c r="Y13" s="2"/>
      <c r="Z13" s="19">
        <f t="shared" si="3"/>
        <v>-0.61905138793301218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--4265.13</f>
        <v>4265.13</v>
      </c>
      <c r="E14" s="2"/>
      <c r="F14" s="19"/>
      <c r="G14" s="2"/>
      <c r="H14" s="2">
        <v>9339</v>
      </c>
      <c r="I14" s="2"/>
      <c r="J14" s="19"/>
      <c r="K14" s="2"/>
      <c r="L14" s="2">
        <f t="shared" si="0"/>
        <v>-5073.87</v>
      </c>
      <c r="M14" s="2"/>
      <c r="N14" s="19">
        <f t="shared" si="1"/>
        <v>-0.54329906842274334</v>
      </c>
      <c r="O14" s="11"/>
      <c r="P14" s="2">
        <f>--26802.96</f>
        <v>26802.959999999999</v>
      </c>
      <c r="Q14" s="2"/>
      <c r="R14" s="19"/>
      <c r="S14" s="2"/>
      <c r="T14" s="2">
        <v>88896</v>
      </c>
      <c r="U14" s="2"/>
      <c r="V14" s="19"/>
      <c r="W14" s="2"/>
      <c r="X14" s="2">
        <f t="shared" si="2"/>
        <v>-62093.04</v>
      </c>
      <c r="Y14" s="2"/>
      <c r="Z14" s="19">
        <f t="shared" si="3"/>
        <v>-0.69849082073434121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-53.97</f>
        <v>-53.97</v>
      </c>
      <c r="E15" s="2"/>
      <c r="F15" s="19"/>
      <c r="G15" s="2"/>
      <c r="H15" s="2"/>
      <c r="I15" s="2"/>
      <c r="J15" s="19"/>
      <c r="K15" s="2"/>
      <c r="L15" s="2">
        <f t="shared" si="0"/>
        <v>-53.97</v>
      </c>
      <c r="M15" s="2"/>
      <c r="N15" s="19">
        <f t="shared" si="1"/>
        <v>0</v>
      </c>
      <c r="O15" s="11"/>
      <c r="P15" s="2">
        <f>-1026.49</f>
        <v>-1026.49</v>
      </c>
      <c r="Q15" s="2"/>
      <c r="R15" s="19"/>
      <c r="S15" s="2"/>
      <c r="T15" s="2"/>
      <c r="U15" s="2"/>
      <c r="V15" s="19"/>
      <c r="W15" s="2"/>
      <c r="X15" s="2">
        <f t="shared" si="2"/>
        <v>-1026.49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"4500", " - ", "SALES DISCOUNT")</f>
        <v xml:space="preserve">          4500 - SALES DISCOUNT</v>
      </c>
      <c r="C16" s="11"/>
      <c r="D16" s="2">
        <f>-1281.74</f>
        <v>-1281.74</v>
      </c>
      <c r="E16" s="2"/>
      <c r="F16" s="19"/>
      <c r="G16" s="2"/>
      <c r="H16" s="2"/>
      <c r="I16" s="2"/>
      <c r="J16" s="19"/>
      <c r="K16" s="2"/>
      <c r="L16" s="2">
        <f t="shared" si="0"/>
        <v>-1281.74</v>
      </c>
      <c r="M16" s="2"/>
      <c r="N16" s="19">
        <f t="shared" si="1"/>
        <v>0</v>
      </c>
      <c r="O16" s="11"/>
      <c r="P16" s="2">
        <f>-1591.46</f>
        <v>-1591.46</v>
      </c>
      <c r="Q16" s="2"/>
      <c r="R16" s="19"/>
      <c r="S16" s="2"/>
      <c r="T16" s="2"/>
      <c r="U16" s="2"/>
      <c r="V16" s="19"/>
      <c r="W16" s="2"/>
      <c r="X16" s="2">
        <f t="shared" si="2"/>
        <v>-1591.46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7098.52</v>
      </c>
      <c r="E18" s="4"/>
      <c r="F18" s="12">
        <f t="shared" ref="F18:F28" si="4">IF(D$12=0,0,D18/D$12)</f>
        <v>0.6118754444564164</v>
      </c>
      <c r="G18" s="4"/>
      <c r="H18" s="4">
        <f>SUM(OSRRefH16x_0)</f>
        <v>12089</v>
      </c>
      <c r="I18" s="4"/>
      <c r="J18" s="12">
        <f t="shared" ref="J18:J28" si="5">IF(H$12=0,0,H18/H$12)</f>
        <v>0.54538482360371743</v>
      </c>
      <c r="K18" s="4"/>
      <c r="L18" s="4">
        <f t="shared" ref="L18:L28" si="6">+D18-H18</f>
        <v>-4990.4799999999996</v>
      </c>
      <c r="M18" s="4"/>
      <c r="N18" s="12">
        <f t="shared" ref="N18:N28" si="7">IF(H18=0,0,L18/H18)</f>
        <v>-0.4128116469517743</v>
      </c>
      <c r="O18" s="10"/>
      <c r="P18" s="4">
        <f>SUM(OSRRefP16x_0)</f>
        <v>53591.54</v>
      </c>
      <c r="Q18" s="4"/>
      <c r="R18" s="12">
        <f t="shared" ref="R18:R28" si="8">IF(P$12=0,0,P18/P$12)</f>
        <v>0.57055784666435017</v>
      </c>
      <c r="S18" s="4"/>
      <c r="T18" s="4">
        <f>SUM(OSRRefT16x_0)</f>
        <v>152619</v>
      </c>
      <c r="U18" s="4"/>
      <c r="V18" s="12">
        <f t="shared" ref="V18:V28" si="9">IF(T$12=0,0,T18/T$12)</f>
        <v>0.56115290432173659</v>
      </c>
      <c r="W18" s="4"/>
      <c r="X18" s="4">
        <f t="shared" ref="X18:X28" si="10">+P18-T18</f>
        <v>-99027.459999999992</v>
      </c>
      <c r="Y18" s="4"/>
      <c r="Z18" s="12">
        <f t="shared" ref="Z18:Z28" si="11">IF(T18=0,0,X18/T18)</f>
        <v>-0.64885407452545218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9742.81</v>
      </c>
      <c r="E19" s="2"/>
      <c r="F19" s="19">
        <f t="shared" si="4"/>
        <v>0.83980691735804325</v>
      </c>
      <c r="G19" s="2"/>
      <c r="H19" s="2">
        <v>12089</v>
      </c>
      <c r="I19" s="2"/>
      <c r="J19" s="19">
        <f t="shared" si="5"/>
        <v>0.54538482360371743</v>
      </c>
      <c r="K19" s="2"/>
      <c r="L19" s="2">
        <f t="shared" si="6"/>
        <v>-2346.1900000000005</v>
      </c>
      <c r="M19" s="2"/>
      <c r="N19" s="19">
        <f t="shared" si="7"/>
        <v>-0.19407643312101916</v>
      </c>
      <c r="O19" s="11"/>
      <c r="P19" s="2">
        <v>82267.97</v>
      </c>
      <c r="Q19" s="2"/>
      <c r="R19" s="19">
        <f t="shared" si="8"/>
        <v>0.87585905933375596</v>
      </c>
      <c r="S19" s="2"/>
      <c r="T19" s="2">
        <v>152619</v>
      </c>
      <c r="U19" s="2"/>
      <c r="V19" s="19">
        <f t="shared" si="9"/>
        <v>0.56115290432173659</v>
      </c>
      <c r="W19" s="2"/>
      <c r="X19" s="2">
        <f t="shared" si="10"/>
        <v>-70351.03</v>
      </c>
      <c r="Y19" s="2"/>
      <c r="Z19" s="19">
        <f t="shared" si="11"/>
        <v>-0.46095853072029042</v>
      </c>
    </row>
    <row r="20" spans="1:26" s="24" customFormat="1" hidden="1" outlineLevel="1" x14ac:dyDescent="0.3">
      <c r="A20" s="44"/>
      <c r="B20" s="11" t="str">
        <f>CONCATENATE("          ", "5026", " - ", "PURCHASES @ COST-WRITING INSTR")</f>
        <v xml:space="preserve">          5026 - PURCHASES @ COST-WRITING INSTR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"5042", " - ", "PURCHASES @ COST-EVERYDAY GIFT")</f>
        <v xml:space="preserve">          5042 - PURCHASES @ COST-EVERYDAY GIFT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-9920.89</v>
      </c>
      <c r="E25" s="2"/>
      <c r="F25" s="19">
        <f t="shared" si="4"/>
        <v>-0.8551569873935998</v>
      </c>
      <c r="G25" s="2"/>
      <c r="H25" s="2"/>
      <c r="I25" s="2"/>
      <c r="J25" s="19">
        <f t="shared" si="5"/>
        <v>0</v>
      </c>
      <c r="K25" s="2"/>
      <c r="L25" s="2">
        <f t="shared" si="6"/>
        <v>-9920.89</v>
      </c>
      <c r="M25" s="2"/>
      <c r="N25" s="19">
        <f t="shared" si="7"/>
        <v>0</v>
      </c>
      <c r="O25" s="11"/>
      <c r="P25" s="2">
        <v>-83257.440000000002</v>
      </c>
      <c r="Q25" s="2"/>
      <c r="R25" s="19">
        <f t="shared" si="8"/>
        <v>-0.88639336890088127</v>
      </c>
      <c r="S25" s="2"/>
      <c r="T25" s="2"/>
      <c r="U25" s="2"/>
      <c r="V25" s="19">
        <f t="shared" si="9"/>
        <v>0</v>
      </c>
      <c r="W25" s="2"/>
      <c r="X25" s="2">
        <f t="shared" si="10"/>
        <v>-83257.440000000002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"5300", " - ", "COG$ OFFSET")</f>
        <v xml:space="preserve">          5300 - COG$ OFFSET</v>
      </c>
      <c r="C26" s="11"/>
      <c r="D26" s="2">
        <v>7098.52</v>
      </c>
      <c r="E26" s="2"/>
      <c r="F26" s="19">
        <f t="shared" si="4"/>
        <v>0.6118754444564164</v>
      </c>
      <c r="G26" s="2"/>
      <c r="H26" s="2"/>
      <c r="I26" s="2"/>
      <c r="J26" s="19">
        <f t="shared" si="5"/>
        <v>0</v>
      </c>
      <c r="K26" s="2"/>
      <c r="L26" s="2">
        <f t="shared" si="6"/>
        <v>7098.52</v>
      </c>
      <c r="M26" s="2"/>
      <c r="N26" s="19">
        <f t="shared" si="7"/>
        <v>0</v>
      </c>
      <c r="O26" s="11"/>
      <c r="P26" s="2">
        <v>53591.54</v>
      </c>
      <c r="Q26" s="2"/>
      <c r="R26" s="19">
        <f t="shared" si="8"/>
        <v>0.57055784666435017</v>
      </c>
      <c r="S26" s="2"/>
      <c r="T26" s="2"/>
      <c r="U26" s="2"/>
      <c r="V26" s="19">
        <f t="shared" si="9"/>
        <v>0</v>
      </c>
      <c r="W26" s="2"/>
      <c r="X26" s="2">
        <f t="shared" si="10"/>
        <v>53591.54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>
        <v>178.08</v>
      </c>
      <c r="E27" s="2"/>
      <c r="F27" s="19">
        <f t="shared" si="4"/>
        <v>1.5350070035556515E-2</v>
      </c>
      <c r="G27" s="2"/>
      <c r="H27" s="2"/>
      <c r="I27" s="2"/>
      <c r="J27" s="19">
        <f t="shared" si="5"/>
        <v>0</v>
      </c>
      <c r="K27" s="2"/>
      <c r="L27" s="2">
        <f t="shared" si="6"/>
        <v>178.08</v>
      </c>
      <c r="M27" s="2"/>
      <c r="N27" s="19">
        <f t="shared" si="7"/>
        <v>0</v>
      </c>
      <c r="O27" s="11"/>
      <c r="P27" s="2">
        <v>989.47</v>
      </c>
      <c r="Q27" s="2"/>
      <c r="R27" s="19">
        <f t="shared" si="8"/>
        <v>1.0534309567125233E-2</v>
      </c>
      <c r="S27" s="2"/>
      <c r="T27" s="2"/>
      <c r="U27" s="2"/>
      <c r="V27" s="19">
        <f t="shared" si="9"/>
        <v>0</v>
      </c>
      <c r="W27" s="2"/>
      <c r="X27" s="2">
        <f t="shared" si="10"/>
        <v>989.47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"5528", " - ", "FREIGHT-IN-ART/TECH")</f>
        <v xml:space="preserve">          5528 - FREIGHT-IN-ART/TECH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108</v>
      </c>
      <c r="C30" s="26"/>
      <c r="D30" s="20">
        <f>D12-D18</f>
        <v>4502.7299999999996</v>
      </c>
      <c r="E30" s="13"/>
      <c r="F30" s="22">
        <f>IF(D$12=0,0,D30/D$12)</f>
        <v>0.3881245555435836</v>
      </c>
      <c r="G30" s="13"/>
      <c r="H30" s="20">
        <f>H12-H18</f>
        <v>10077</v>
      </c>
      <c r="I30" s="13"/>
      <c r="J30" s="22">
        <f>IF(H$12=0,0,H30/H$12)</f>
        <v>0.45461517639628257</v>
      </c>
      <c r="K30" s="16"/>
      <c r="L30" s="20">
        <f>+D30-H30</f>
        <v>-5574.27</v>
      </c>
      <c r="M30" s="16"/>
      <c r="N30" s="22">
        <f>IF(H30=0,0,L30/H30)</f>
        <v>-0.55316760940756182</v>
      </c>
      <c r="O30" s="25"/>
      <c r="P30" s="20">
        <f>P12-P18</f>
        <v>40336.779999999977</v>
      </c>
      <c r="Q30" s="13"/>
      <c r="R30" s="22">
        <f>IF(P$12=0,0,P30/P$12)</f>
        <v>0.42944215333564983</v>
      </c>
      <c r="S30" s="13"/>
      <c r="T30" s="20">
        <f>T12-T18</f>
        <v>119355</v>
      </c>
      <c r="U30" s="13"/>
      <c r="V30" s="22">
        <f>IF(T$12=0,0,T30/T$12)</f>
        <v>0.43884709567826335</v>
      </c>
      <c r="W30" s="16"/>
      <c r="X30" s="20">
        <f>+P30-T30</f>
        <v>-79018.22000000003</v>
      </c>
      <c r="Y30" s="16"/>
      <c r="Z30" s="22">
        <f>IF(T30=0,0,X30/T30)</f>
        <v>-0.66204365129236342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1">
        <f>SUM(OSRRefD22x_0)</f>
        <v>6524.0100000000011</v>
      </c>
      <c r="E32" s="21"/>
      <c r="F32" s="32">
        <f t="shared" ref="F32:F41" si="12">IF(D$12=0,0,D32/D$12)</f>
        <v>0.56235405667492733</v>
      </c>
      <c r="G32" s="21"/>
      <c r="H32" s="21">
        <f>SUM(OSRRefH22x_0)</f>
        <v>9885.615600000001</v>
      </c>
      <c r="I32" s="21"/>
      <c r="J32" s="32">
        <f t="shared" ref="J32:J41" si="13">IF(H$12=0,0,H32/H$12)</f>
        <v>0.44598103401606065</v>
      </c>
      <c r="K32" s="4"/>
      <c r="L32" s="21">
        <f t="shared" ref="L32:L41" si="14">+D32-H32</f>
        <v>-3361.6055999999999</v>
      </c>
      <c r="M32" s="4"/>
      <c r="N32" s="32">
        <f t="shared" ref="N32:N41" si="15">IF(H32=0,0,L32/H32)</f>
        <v>-0.34005020385376905</v>
      </c>
      <c r="O32" s="10"/>
      <c r="P32" s="21">
        <f>SUM(OSRRefP22x_0)</f>
        <v>27518.729999999996</v>
      </c>
      <c r="Q32" s="21"/>
      <c r="R32" s="32">
        <f t="shared" ref="R32:R41" si="16">IF(P$12=0,0,P32/P$12)</f>
        <v>0.29297585648290103</v>
      </c>
      <c r="S32" s="21"/>
      <c r="T32" s="21">
        <f>SUM(OSRRefT22x_0)</f>
        <v>67302.538750000007</v>
      </c>
      <c r="U32" s="21"/>
      <c r="V32" s="32">
        <f t="shared" ref="V32:V41" si="17">IF(T$12=0,0,T32/T$12)</f>
        <v>0.24745945844088041</v>
      </c>
      <c r="W32" s="4"/>
      <c r="X32" s="21">
        <f t="shared" ref="X32:X41" si="18">+P32-T32</f>
        <v>-39783.808750000011</v>
      </c>
      <c r="Y32" s="4"/>
      <c r="Z32" s="32">
        <f t="shared" ref="Z32:Z41" si="19">IF(T32=0,0,X32/T32)</f>
        <v>-0.59111899029217541</v>
      </c>
    </row>
    <row r="33" spans="1:26" s="28" customFormat="1" outlineLevel="1" collapsed="1" x14ac:dyDescent="0.3">
      <c r="A33" s="27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153.04999999999998</v>
      </c>
      <c r="E33" s="1"/>
      <c r="F33" s="5">
        <f t="shared" si="12"/>
        <v>1.3192543906906582E-2</v>
      </c>
      <c r="G33" s="1"/>
      <c r="H33" s="1">
        <f>SUM(OSRRefH22_0x_0)</f>
        <v>573.61560000000009</v>
      </c>
      <c r="I33" s="1"/>
      <c r="J33" s="5">
        <f t="shared" si="13"/>
        <v>2.5878173779662551E-2</v>
      </c>
      <c r="K33" s="1"/>
      <c r="L33" s="1">
        <f t="shared" si="14"/>
        <v>-420.56560000000013</v>
      </c>
      <c r="M33" s="1"/>
      <c r="N33" s="5">
        <f t="shared" si="15"/>
        <v>-0.73318368607827278</v>
      </c>
      <c r="O33" s="14"/>
      <c r="P33" s="1">
        <f>SUM(OSRRefP22_0x_0)</f>
        <v>378.80000000000007</v>
      </c>
      <c r="Q33" s="1"/>
      <c r="R33" s="5">
        <f t="shared" si="16"/>
        <v>4.0328625062175088E-3</v>
      </c>
      <c r="S33" s="1"/>
      <c r="T33" s="1">
        <f>SUM(OSRRefT22_0x_0)</f>
        <v>4799.5387499999997</v>
      </c>
      <c r="U33" s="1"/>
      <c r="V33" s="5">
        <f t="shared" si="17"/>
        <v>1.7647049901828849E-2</v>
      </c>
      <c r="W33" s="1"/>
      <c r="X33" s="1">
        <f t="shared" si="18"/>
        <v>-4420.7387499999995</v>
      </c>
      <c r="Y33" s="1"/>
      <c r="Z33" s="5">
        <f t="shared" si="19"/>
        <v>-0.92107574920610857</v>
      </c>
    </row>
    <row r="34" spans="1:26" s="24" customFormat="1" hidden="1" outlineLevel="2" x14ac:dyDescent="0.3">
      <c r="A34" s="29"/>
      <c r="B34" s="11" t="str">
        <f>CONCATENATE("          ", "6111", " - ", "F.I.C.A.")</f>
        <v xml:space="preserve">          6111 - F.I.C.A.</v>
      </c>
      <c r="C34" s="11"/>
      <c r="D34" s="6">
        <v>59.97</v>
      </c>
      <c r="E34" s="2"/>
      <c r="F34" s="7">
        <f t="shared" si="12"/>
        <v>5.1692705527421612E-3</v>
      </c>
      <c r="G34" s="2"/>
      <c r="H34" s="6">
        <v>146.9376</v>
      </c>
      <c r="I34" s="2"/>
      <c r="J34" s="7">
        <f t="shared" si="13"/>
        <v>6.6289632770910401E-3</v>
      </c>
      <c r="K34" s="2"/>
      <c r="L34" s="6">
        <f t="shared" si="14"/>
        <v>-86.967600000000004</v>
      </c>
      <c r="M34" s="2"/>
      <c r="N34" s="7">
        <f t="shared" si="15"/>
        <v>-0.59186756827387954</v>
      </c>
      <c r="O34" s="11"/>
      <c r="P34" s="6">
        <v>70.28</v>
      </c>
      <c r="Q34" s="2"/>
      <c r="R34" s="7">
        <f t="shared" si="16"/>
        <v>7.4823013974911951E-4</v>
      </c>
      <c r="S34" s="2"/>
      <c r="T34" s="6">
        <v>2026.13175</v>
      </c>
      <c r="U34" s="2"/>
      <c r="V34" s="7">
        <f t="shared" si="17"/>
        <v>7.4497258929162348E-3</v>
      </c>
      <c r="W34" s="2"/>
      <c r="X34" s="6">
        <f t="shared" si="18"/>
        <v>-1955.85175</v>
      </c>
      <c r="Y34" s="2"/>
      <c r="Z34" s="7">
        <f t="shared" si="19"/>
        <v>-0.96531321322021635</v>
      </c>
    </row>
    <row r="35" spans="1:26" s="24" customFormat="1" hidden="1" outlineLevel="2" x14ac:dyDescent="0.3">
      <c r="A35" s="29"/>
      <c r="B35" s="11" t="str">
        <f>CONCATENATE("          ", "6112", " - ", "COMPENSATION INSURANCE")</f>
        <v xml:space="preserve">          6112 - COMPENSATION INSURANCE</v>
      </c>
      <c r="C35" s="11"/>
      <c r="D35" s="6">
        <v>79.17</v>
      </c>
      <c r="E35" s="2"/>
      <c r="F35" s="7">
        <f t="shared" si="12"/>
        <v>6.8242646266566103E-3</v>
      </c>
      <c r="G35" s="2"/>
      <c r="H35" s="6">
        <v>126.98399999999999</v>
      </c>
      <c r="I35" s="2"/>
      <c r="J35" s="7">
        <f t="shared" si="13"/>
        <v>5.7287737977082011E-3</v>
      </c>
      <c r="K35" s="2"/>
      <c r="L35" s="6">
        <f t="shared" si="14"/>
        <v>-47.813999999999993</v>
      </c>
      <c r="M35" s="2"/>
      <c r="N35" s="7">
        <f t="shared" si="15"/>
        <v>-0.3765356265356265</v>
      </c>
      <c r="O35" s="11"/>
      <c r="P35" s="6">
        <v>262.42</v>
      </c>
      <c r="Q35" s="2"/>
      <c r="R35" s="7">
        <f t="shared" si="16"/>
        <v>2.7938325736050649E-3</v>
      </c>
      <c r="S35" s="2"/>
      <c r="T35" s="6">
        <v>825.39599999999996</v>
      </c>
      <c r="U35" s="2"/>
      <c r="V35" s="7">
        <f t="shared" si="17"/>
        <v>3.0348342120938027E-3</v>
      </c>
      <c r="W35" s="2"/>
      <c r="X35" s="6">
        <f t="shared" si="18"/>
        <v>-562.97599999999989</v>
      </c>
      <c r="Y35" s="2"/>
      <c r="Z35" s="7">
        <f t="shared" si="19"/>
        <v>-0.68206775899083583</v>
      </c>
    </row>
    <row r="36" spans="1:26" s="24" customFormat="1" hidden="1" outlineLevel="2" x14ac:dyDescent="0.3">
      <c r="A36" s="29"/>
      <c r="B36" s="11" t="str">
        <f>CONCATENATE("          ", "6113", " - ", "GROUP INSURANCE")</f>
        <v xml:space="preserve">          6113 - GROUP INSURANCE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3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13.91</v>
      </c>
      <c r="E37" s="2"/>
      <c r="F37" s="7">
        <f t="shared" si="12"/>
        <v>1.1990087275078117E-3</v>
      </c>
      <c r="G37" s="2"/>
      <c r="H37" s="6">
        <v>17.094000000000001</v>
      </c>
      <c r="I37" s="2"/>
      <c r="J37" s="7">
        <f t="shared" si="13"/>
        <v>7.7118108815302721E-4</v>
      </c>
      <c r="K37" s="2"/>
      <c r="L37" s="6">
        <f t="shared" si="14"/>
        <v>-3.1840000000000011</v>
      </c>
      <c r="M37" s="2"/>
      <c r="N37" s="7">
        <f t="shared" si="15"/>
        <v>-0.18626418626418631</v>
      </c>
      <c r="O37" s="11"/>
      <c r="P37" s="6">
        <v>46.1</v>
      </c>
      <c r="Q37" s="2"/>
      <c r="R37" s="7">
        <f t="shared" si="16"/>
        <v>4.9079979286332403E-4</v>
      </c>
      <c r="S37" s="2"/>
      <c r="T37" s="6">
        <v>111.111</v>
      </c>
      <c r="U37" s="2"/>
      <c r="V37" s="7">
        <f t="shared" si="17"/>
        <v>4.0853537470493507E-4</v>
      </c>
      <c r="W37" s="2"/>
      <c r="X37" s="6">
        <f t="shared" si="18"/>
        <v>-65.010999999999996</v>
      </c>
      <c r="Y37" s="2"/>
      <c r="Z37" s="7">
        <f t="shared" si="19"/>
        <v>-0.58509958509958504</v>
      </c>
    </row>
    <row r="38" spans="1:26" s="24" customFormat="1" hidden="1" outlineLevel="2" x14ac:dyDescent="0.3">
      <c r="A38" s="29"/>
      <c r="B38" s="11" t="str">
        <f>CONCATENATE("          ", "6115", " - ", "P.E.R.S.")</f>
        <v xml:space="preserve">          6115 - P.E.R.S.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3">
      <c r="A39" s="29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9"/>
      <c r="B40" s="11" t="str">
        <f>CONCATENATE("          ", "6118", " - ", "VACATION")</f>
        <v xml:space="preserve">          6118 - VACATION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"6119", " - ", "SICK LEAVE")</f>
        <v xml:space="preserve">          6119 - SICK LEAVE</v>
      </c>
      <c r="C41" s="11"/>
      <c r="D41" s="6"/>
      <c r="E41" s="2"/>
      <c r="F41" s="7">
        <f t="shared" si="12"/>
        <v>0</v>
      </c>
      <c r="G41" s="2"/>
      <c r="H41" s="6">
        <v>282.60000000000002</v>
      </c>
      <c r="I41" s="2"/>
      <c r="J41" s="7">
        <f t="shared" si="13"/>
        <v>1.2749255616710278E-2</v>
      </c>
      <c r="K41" s="2"/>
      <c r="L41" s="6">
        <f t="shared" si="14"/>
        <v>-282.60000000000002</v>
      </c>
      <c r="M41" s="2"/>
      <c r="N41" s="7">
        <f t="shared" si="15"/>
        <v>-1</v>
      </c>
      <c r="O41" s="11"/>
      <c r="P41" s="6"/>
      <c r="Q41" s="2"/>
      <c r="R41" s="7">
        <f t="shared" si="16"/>
        <v>0</v>
      </c>
      <c r="S41" s="2"/>
      <c r="T41" s="6">
        <v>1836.9</v>
      </c>
      <c r="U41" s="2"/>
      <c r="V41" s="7">
        <f t="shared" si="17"/>
        <v>6.753954422113879E-3</v>
      </c>
      <c r="W41" s="2"/>
      <c r="X41" s="6">
        <f t="shared" si="18"/>
        <v>-1836.9</v>
      </c>
      <c r="Y41" s="2"/>
      <c r="Z41" s="7">
        <f t="shared" si="19"/>
        <v>-1</v>
      </c>
    </row>
    <row r="42" spans="1:26" s="28" customFormat="1" outlineLevel="1" collapsed="1" x14ac:dyDescent="0.3">
      <c r="A42" s="27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5071.58</v>
      </c>
      <c r="E42" s="1"/>
      <c r="F42" s="5">
        <f t="shared" ref="F42:F52" si="20">IF(D$12=0,0,D42/D$12)</f>
        <v>0.43715806486370001</v>
      </c>
      <c r="G42" s="1"/>
      <c r="H42" s="1">
        <f>SUM(OSRRefH22_1x_0)</f>
        <v>8044</v>
      </c>
      <c r="I42" s="1"/>
      <c r="J42" s="5">
        <f t="shared" ref="J42:J52" si="21">IF(H$12=0,0,H42/H$12)</f>
        <v>0.36289813227465489</v>
      </c>
      <c r="K42" s="1"/>
      <c r="L42" s="1">
        <f t="shared" ref="L42:L52" si="22">+D42-H42</f>
        <v>-2972.42</v>
      </c>
      <c r="M42" s="1"/>
      <c r="N42" s="5">
        <f t="shared" ref="N42:N52" si="23">IF(H42=0,0,L42/H42)</f>
        <v>-0.36952013923421184</v>
      </c>
      <c r="O42" s="14"/>
      <c r="P42" s="1">
        <f>SUM(OSRRefP22_1x_0)</f>
        <v>15795.169999999998</v>
      </c>
      <c r="Q42" s="1"/>
      <c r="R42" s="5">
        <f t="shared" ref="R42:R52" si="24">IF(P$12=0,0,P42/P$12)</f>
        <v>0.1681619558403685</v>
      </c>
      <c r="S42" s="1"/>
      <c r="T42" s="1">
        <f>SUM(OSRRefT22_1x_0)</f>
        <v>52286</v>
      </c>
      <c r="U42" s="1"/>
      <c r="V42" s="5">
        <f t="shared" ref="V42:V52" si="25">IF(T$12=0,0,T42/T$12)</f>
        <v>0.19224631766271777</v>
      </c>
      <c r="W42" s="1"/>
      <c r="X42" s="1">
        <f t="shared" ref="X42:X52" si="26">+P42-T42</f>
        <v>-36490.83</v>
      </c>
      <c r="Y42" s="1"/>
      <c r="Z42" s="5">
        <f t="shared" ref="Z42:Z52" si="27">IF(T42=0,0,X42/T42)</f>
        <v>-0.69790823547412317</v>
      </c>
    </row>
    <row r="43" spans="1:26" s="24" customFormat="1" hidden="1" outlineLevel="2" x14ac:dyDescent="0.3">
      <c r="A43" s="29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"6002", " - ", "STAFF SALARIES")</f>
        <v xml:space="preserve">          6002 - STAFF SALARIES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9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"6004", " - ", "STAFF HOURLY")</f>
        <v xml:space="preserve">          6004 - STAFF HOURLY</v>
      </c>
      <c r="C46" s="11"/>
      <c r="D46" s="6">
        <v>783.61</v>
      </c>
      <c r="E46" s="2"/>
      <c r="F46" s="7">
        <f t="shared" si="20"/>
        <v>6.7545307617713615E-2</v>
      </c>
      <c r="G46" s="2"/>
      <c r="H46" s="6">
        <v>1824</v>
      </c>
      <c r="I46" s="2"/>
      <c r="J46" s="7">
        <f t="shared" si="21"/>
        <v>8.2288189118469732E-2</v>
      </c>
      <c r="K46" s="2"/>
      <c r="L46" s="6">
        <f t="shared" si="22"/>
        <v>-1040.3899999999999</v>
      </c>
      <c r="M46" s="2"/>
      <c r="N46" s="7">
        <f t="shared" si="23"/>
        <v>-0.57038925438596488</v>
      </c>
      <c r="O46" s="11"/>
      <c r="P46" s="6">
        <v>783.61</v>
      </c>
      <c r="Q46" s="2"/>
      <c r="R46" s="7">
        <f t="shared" si="24"/>
        <v>8.3426383012067101E-3</v>
      </c>
      <c r="S46" s="2"/>
      <c r="T46" s="6">
        <v>11856</v>
      </c>
      <c r="U46" s="2"/>
      <c r="V46" s="7">
        <f t="shared" si="25"/>
        <v>4.35924022149176E-2</v>
      </c>
      <c r="W46" s="2"/>
      <c r="X46" s="6">
        <f t="shared" si="26"/>
        <v>-11072.39</v>
      </c>
      <c r="Y46" s="2"/>
      <c r="Z46" s="7">
        <f t="shared" si="27"/>
        <v>-0.93390603913630221</v>
      </c>
    </row>
    <row r="47" spans="1:26" s="24" customFormat="1" hidden="1" outlineLevel="2" x14ac:dyDescent="0.3">
      <c r="A47" s="29"/>
      <c r="B47" s="11" t="str">
        <f>CONCATENATE("          ", "6005", " - ", "TEMPORARY WAGES-HOURLY")</f>
        <v xml:space="preserve">          6005 - TEMPORARY WAGES-HOURLY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>
        <v>134.81</v>
      </c>
      <c r="Q47" s="2"/>
      <c r="R47" s="7">
        <f t="shared" si="24"/>
        <v>1.4352433855944623E-3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134.81</v>
      </c>
      <c r="Y47" s="2"/>
      <c r="Z47" s="7">
        <f t="shared" si="27"/>
        <v>0</v>
      </c>
    </row>
    <row r="48" spans="1:26" s="24" customFormat="1" hidden="1" outlineLevel="2" x14ac:dyDescent="0.3">
      <c r="A48" s="29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9"/>
      <c r="B49" s="11" t="str">
        <f>CONCATENATE("          ", "6007", " - ", "STUDENT HOURLY")</f>
        <v xml:space="preserve">          6007 - STUDENT HOURLY</v>
      </c>
      <c r="C49" s="11"/>
      <c r="D49" s="6">
        <v>3436.96</v>
      </c>
      <c r="E49" s="2"/>
      <c r="F49" s="7">
        <f t="shared" si="20"/>
        <v>0.29625773084796897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3436.96</v>
      </c>
      <c r="M49" s="2"/>
      <c r="N49" s="7">
        <f t="shared" si="23"/>
        <v>0</v>
      </c>
      <c r="O49" s="11"/>
      <c r="P49" s="6">
        <v>12125.05</v>
      </c>
      <c r="Q49" s="2"/>
      <c r="R49" s="7">
        <f t="shared" si="24"/>
        <v>0.12908833033530251</v>
      </c>
      <c r="S49" s="2"/>
      <c r="T49" s="6">
        <v>13995</v>
      </c>
      <c r="U49" s="2"/>
      <c r="V49" s="7">
        <f t="shared" si="25"/>
        <v>5.145712457808467E-2</v>
      </c>
      <c r="W49" s="2"/>
      <c r="X49" s="6">
        <f t="shared" si="26"/>
        <v>-1869.9500000000007</v>
      </c>
      <c r="Y49" s="2"/>
      <c r="Z49" s="7">
        <f t="shared" si="27"/>
        <v>-0.13361557699178284</v>
      </c>
    </row>
    <row r="50" spans="1:26" s="24" customFormat="1" hidden="1" outlineLevel="2" x14ac:dyDescent="0.3">
      <c r="A50" s="29"/>
      <c r="B50" s="11" t="str">
        <f>CONCATENATE("          ", "6008", " - ", "STUDENT HOURLY-FICA EXEMPT")</f>
        <v xml:space="preserve">          6008 - STUDENT HOURLY-FICA EXEMPT</v>
      </c>
      <c r="C50" s="11"/>
      <c r="D50" s="6">
        <v>851.01</v>
      </c>
      <c r="E50" s="2"/>
      <c r="F50" s="7">
        <f t="shared" si="20"/>
        <v>7.3355026398017456E-2</v>
      </c>
      <c r="G50" s="2"/>
      <c r="H50" s="6">
        <v>6220</v>
      </c>
      <c r="I50" s="2"/>
      <c r="J50" s="7">
        <f t="shared" si="21"/>
        <v>0.28060994315618515</v>
      </c>
      <c r="K50" s="2"/>
      <c r="L50" s="6">
        <f t="shared" si="22"/>
        <v>-5368.99</v>
      </c>
      <c r="M50" s="2"/>
      <c r="N50" s="7">
        <f t="shared" si="23"/>
        <v>-0.86318167202572349</v>
      </c>
      <c r="O50" s="11"/>
      <c r="P50" s="6">
        <v>2751.7</v>
      </c>
      <c r="Q50" s="2"/>
      <c r="R50" s="7">
        <f t="shared" si="24"/>
        <v>2.9295743818264827E-2</v>
      </c>
      <c r="S50" s="2"/>
      <c r="T50" s="6">
        <v>26435</v>
      </c>
      <c r="U50" s="2"/>
      <c r="V50" s="7">
        <f t="shared" si="25"/>
        <v>9.7196790869715485E-2</v>
      </c>
      <c r="W50" s="2"/>
      <c r="X50" s="6">
        <f t="shared" si="26"/>
        <v>-23683.3</v>
      </c>
      <c r="Y50" s="2"/>
      <c r="Z50" s="7">
        <f t="shared" si="27"/>
        <v>-0.89590694155475692</v>
      </c>
    </row>
    <row r="51" spans="1:26" s="24" customFormat="1" hidden="1" outlineLevel="2" x14ac:dyDescent="0.3">
      <c r="A51" s="29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9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20"/>
        <v>0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0</v>
      </c>
      <c r="M52" s="2"/>
      <c r="N52" s="7">
        <f t="shared" si="23"/>
        <v>0</v>
      </c>
      <c r="O52" s="11"/>
      <c r="P52" s="6"/>
      <c r="Q52" s="2"/>
      <c r="R52" s="7">
        <f t="shared" si="24"/>
        <v>0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0</v>
      </c>
      <c r="Y52" s="2"/>
      <c r="Z52" s="7">
        <f t="shared" si="27"/>
        <v>0</v>
      </c>
    </row>
    <row r="53" spans="1:26" s="28" customFormat="1" outlineLevel="1" collapsed="1" x14ac:dyDescent="0.3">
      <c r="A53" s="27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0</v>
      </c>
      <c r="E53" s="1"/>
      <c r="F53" s="5">
        <f t="shared" ref="F53:F61" si="28">IF(D$12=0,0,D53/D$12)</f>
        <v>0</v>
      </c>
      <c r="G53" s="1"/>
      <c r="H53" s="1">
        <f>SUM(OSRRefH22_2x_0)</f>
        <v>50</v>
      </c>
      <c r="I53" s="1"/>
      <c r="J53" s="5">
        <f t="shared" ref="J53:J61" si="29">IF(H$12=0,0,H53/H$12)</f>
        <v>2.2557069385545428E-3</v>
      </c>
      <c r="K53" s="1"/>
      <c r="L53" s="1">
        <f t="shared" ref="L53:L61" si="30">+D53-H53</f>
        <v>-50</v>
      </c>
      <c r="M53" s="1"/>
      <c r="N53" s="5">
        <f t="shared" ref="N53:N61" si="31">IF(H53=0,0,L53/H53)</f>
        <v>-1</v>
      </c>
      <c r="O53" s="14"/>
      <c r="P53" s="1">
        <f>SUM(OSRRefP22_2x_0)</f>
        <v>1188.43</v>
      </c>
      <c r="Q53" s="1"/>
      <c r="R53" s="5">
        <f t="shared" ref="R53:R61" si="32">IF(P$12=0,0,P53/P$12)</f>
        <v>1.2652520560359223E-2</v>
      </c>
      <c r="S53" s="1"/>
      <c r="T53" s="1">
        <f>SUM(OSRRefT22_2x_0)</f>
        <v>300</v>
      </c>
      <c r="U53" s="1"/>
      <c r="V53" s="5">
        <f t="shared" ref="V53:V61" si="33">IF(T$12=0,0,T53/T$12)</f>
        <v>1.1030466147499394E-3</v>
      </c>
      <c r="W53" s="1"/>
      <c r="X53" s="1">
        <f t="shared" ref="X53:X61" si="34">+P53-T53</f>
        <v>888.43000000000006</v>
      </c>
      <c r="Y53" s="1"/>
      <c r="Z53" s="5">
        <f t="shared" ref="Z53:Z61" si="35">IF(T53=0,0,X53/T53)</f>
        <v>2.9614333333333334</v>
      </c>
    </row>
    <row r="54" spans="1:26" s="24" customFormat="1" hidden="1" outlineLevel="2" x14ac:dyDescent="0.3">
      <c r="A54" s="29"/>
      <c r="B54" s="11" t="str">
        <f>CONCATENATE("          ", "6362", " - ", "ADVERTISING EXPENSE")</f>
        <v xml:space="preserve">          6362 - ADVERTISING EXPENSE</v>
      </c>
      <c r="C54" s="11"/>
      <c r="D54" s="6"/>
      <c r="E54" s="2"/>
      <c r="F54" s="7">
        <f t="shared" si="28"/>
        <v>0</v>
      </c>
      <c r="G54" s="2"/>
      <c r="H54" s="6">
        <v>50</v>
      </c>
      <c r="I54" s="2"/>
      <c r="J54" s="7">
        <f t="shared" si="29"/>
        <v>2.2557069385545428E-3</v>
      </c>
      <c r="K54" s="2"/>
      <c r="L54" s="6">
        <f t="shared" si="30"/>
        <v>-50</v>
      </c>
      <c r="M54" s="2"/>
      <c r="N54" s="7">
        <f t="shared" si="31"/>
        <v>-1</v>
      </c>
      <c r="O54" s="11"/>
      <c r="P54" s="6">
        <v>1188.43</v>
      </c>
      <c r="Q54" s="2"/>
      <c r="R54" s="7">
        <f t="shared" si="32"/>
        <v>1.2652520560359223E-2</v>
      </c>
      <c r="S54" s="2"/>
      <c r="T54" s="6">
        <v>300</v>
      </c>
      <c r="U54" s="2"/>
      <c r="V54" s="7">
        <f t="shared" si="33"/>
        <v>1.1030466147499394E-3</v>
      </c>
      <c r="W54" s="2"/>
      <c r="X54" s="6">
        <f t="shared" si="34"/>
        <v>888.43000000000006</v>
      </c>
      <c r="Y54" s="2"/>
      <c r="Z54" s="7">
        <f t="shared" si="35"/>
        <v>2.9614333333333334</v>
      </c>
    </row>
    <row r="55" spans="1:26" s="28" customFormat="1" outlineLevel="1" collapsed="1" x14ac:dyDescent="0.3">
      <c r="A55" s="27"/>
      <c r="B55" s="14" t="str">
        <f>CONCATENATE("     ","Bad Debts/Over/Short                              ")</f>
        <v xml:space="preserve">     Bad Debts/Over/Short                              </v>
      </c>
      <c r="C55" s="14"/>
      <c r="D55" s="1">
        <f>SUM(OSRRefD22_3x_0)</f>
        <v>0.02</v>
      </c>
      <c r="E55" s="1"/>
      <c r="F55" s="5">
        <f t="shared" si="28"/>
        <v>1.7239521603275508E-6</v>
      </c>
      <c r="G55" s="1"/>
      <c r="H55" s="1">
        <f>SUM(OSRRefH22_3x_0)</f>
        <v>25</v>
      </c>
      <c r="I55" s="1"/>
      <c r="J55" s="5">
        <f t="shared" si="29"/>
        <v>1.1278534692772714E-3</v>
      </c>
      <c r="K55" s="1"/>
      <c r="L55" s="1">
        <f t="shared" si="30"/>
        <v>-24.98</v>
      </c>
      <c r="M55" s="1"/>
      <c r="N55" s="5">
        <f t="shared" si="31"/>
        <v>-0.99919999999999998</v>
      </c>
      <c r="O55" s="14"/>
      <c r="P55" s="1">
        <f>SUM(OSRRefP22_3x_0)</f>
        <v>-3.45</v>
      </c>
      <c r="Q55" s="1"/>
      <c r="R55" s="5">
        <f t="shared" si="32"/>
        <v>-3.6730136342266113E-5</v>
      </c>
      <c r="S55" s="1"/>
      <c r="T55" s="1">
        <f>SUM(OSRRefT22_3x_0)</f>
        <v>150</v>
      </c>
      <c r="U55" s="1"/>
      <c r="V55" s="5">
        <f t="shared" si="33"/>
        <v>5.5152330737496971E-4</v>
      </c>
      <c r="W55" s="1"/>
      <c r="X55" s="1">
        <f t="shared" si="34"/>
        <v>-153.44999999999999</v>
      </c>
      <c r="Y55" s="1"/>
      <c r="Z55" s="5">
        <f t="shared" si="35"/>
        <v>-1.0229999999999999</v>
      </c>
    </row>
    <row r="56" spans="1:26" s="24" customFormat="1" hidden="1" outlineLevel="2" x14ac:dyDescent="0.3">
      <c r="A56" s="29"/>
      <c r="B56" s="11" t="str">
        <f>CONCATENATE("          ", "6272", " - ", "CASH (OVER/SHORT)")</f>
        <v xml:space="preserve">          6272 - CASH (OVER/SHORT)</v>
      </c>
      <c r="C56" s="11"/>
      <c r="D56" s="6">
        <v>0.02</v>
      </c>
      <c r="E56" s="2"/>
      <c r="F56" s="7">
        <f t="shared" si="28"/>
        <v>1.7239521603275508E-6</v>
      </c>
      <c r="G56" s="2"/>
      <c r="H56" s="6">
        <v>25</v>
      </c>
      <c r="I56" s="2"/>
      <c r="J56" s="7">
        <f t="shared" si="29"/>
        <v>1.1278534692772714E-3</v>
      </c>
      <c r="K56" s="2"/>
      <c r="L56" s="6">
        <f t="shared" si="30"/>
        <v>-24.98</v>
      </c>
      <c r="M56" s="2"/>
      <c r="N56" s="7">
        <f t="shared" si="31"/>
        <v>-0.99919999999999998</v>
      </c>
      <c r="O56" s="11"/>
      <c r="P56" s="6">
        <v>-3.45</v>
      </c>
      <c r="Q56" s="2"/>
      <c r="R56" s="7">
        <f t="shared" si="32"/>
        <v>-3.6730136342266113E-5</v>
      </c>
      <c r="S56" s="2"/>
      <c r="T56" s="6">
        <v>150</v>
      </c>
      <c r="U56" s="2"/>
      <c r="V56" s="7">
        <f t="shared" si="33"/>
        <v>5.5152330737496971E-4</v>
      </c>
      <c r="W56" s="2"/>
      <c r="X56" s="6">
        <f t="shared" si="34"/>
        <v>-153.44999999999999</v>
      </c>
      <c r="Y56" s="2"/>
      <c r="Z56" s="7">
        <f t="shared" si="35"/>
        <v>-1.0229999999999999</v>
      </c>
    </row>
    <row r="57" spans="1:26" s="28" customFormat="1" outlineLevel="1" collapsed="1" x14ac:dyDescent="0.3">
      <c r="A57" s="27"/>
      <c r="B57" s="14" t="str">
        <f>CONCATENATE("     ","Bank/card Fees                                    ")</f>
        <v xml:space="preserve">     Bank/card Fees                                    </v>
      </c>
      <c r="C57" s="14"/>
      <c r="D57" s="1">
        <f>SUM(OSRRefD22_4x_0)</f>
        <v>0</v>
      </c>
      <c r="E57" s="1"/>
      <c r="F57" s="5">
        <f t="shared" si="28"/>
        <v>0</v>
      </c>
      <c r="G57" s="1"/>
      <c r="H57" s="1">
        <f>SUM(OSRRefH22_4x_0)</f>
        <v>408</v>
      </c>
      <c r="I57" s="1"/>
      <c r="J57" s="5">
        <f t="shared" si="29"/>
        <v>1.8406568618605072E-2</v>
      </c>
      <c r="K57" s="1"/>
      <c r="L57" s="1">
        <f t="shared" si="30"/>
        <v>-408</v>
      </c>
      <c r="M57" s="1"/>
      <c r="N57" s="5">
        <f t="shared" si="31"/>
        <v>-1</v>
      </c>
      <c r="O57" s="14"/>
      <c r="P57" s="1">
        <f>SUM(OSRRefP22_4x_0)</f>
        <v>0</v>
      </c>
      <c r="Q57" s="1"/>
      <c r="R57" s="5">
        <f t="shared" si="32"/>
        <v>0</v>
      </c>
      <c r="S57" s="1"/>
      <c r="T57" s="1">
        <f>SUM(OSRRefT22_4x_0)</f>
        <v>5057</v>
      </c>
      <c r="U57" s="1"/>
      <c r="V57" s="5">
        <f t="shared" si="33"/>
        <v>1.859368910263481E-2</v>
      </c>
      <c r="W57" s="1"/>
      <c r="X57" s="1">
        <f t="shared" si="34"/>
        <v>-5057</v>
      </c>
      <c r="Y57" s="1"/>
      <c r="Z57" s="5">
        <f t="shared" si="35"/>
        <v>-1</v>
      </c>
    </row>
    <row r="58" spans="1:26" s="24" customFormat="1" hidden="1" outlineLevel="2" x14ac:dyDescent="0.3">
      <c r="A58" s="29"/>
      <c r="B58" s="11" t="str">
        <f>CONCATENATE("          ", "6381", " - ", "BANK/CREDIT CARD FEES")</f>
        <v xml:space="preserve">          6381 - BANK/CREDIT CARD FEES</v>
      </c>
      <c r="C58" s="11"/>
      <c r="D58" s="6"/>
      <c r="E58" s="2"/>
      <c r="F58" s="7">
        <f t="shared" si="28"/>
        <v>0</v>
      </c>
      <c r="G58" s="2"/>
      <c r="H58" s="6">
        <v>408</v>
      </c>
      <c r="I58" s="2"/>
      <c r="J58" s="7">
        <f t="shared" si="29"/>
        <v>1.8406568618605072E-2</v>
      </c>
      <c r="K58" s="2"/>
      <c r="L58" s="6">
        <f t="shared" si="30"/>
        <v>-408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5057</v>
      </c>
      <c r="U58" s="2"/>
      <c r="V58" s="7">
        <f t="shared" si="33"/>
        <v>1.859368910263481E-2</v>
      </c>
      <c r="W58" s="2"/>
      <c r="X58" s="6">
        <f t="shared" si="34"/>
        <v>-5057</v>
      </c>
      <c r="Y58" s="2"/>
      <c r="Z58" s="7">
        <f t="shared" si="35"/>
        <v>-1</v>
      </c>
    </row>
    <row r="59" spans="1:26" s="28" customFormat="1" outlineLevel="1" collapsed="1" x14ac:dyDescent="0.3">
      <c r="A59" s="27"/>
      <c r="B59" s="14" t="str">
        <f>CONCATENATE("     ","Discounts and Markdowns                           ")</f>
        <v xml:space="preserve">     Discounts and Markdowns                           </v>
      </c>
      <c r="C59" s="14"/>
      <c r="D59" s="1">
        <f>SUM(OSRRefD22_5x_0)</f>
        <v>12.46</v>
      </c>
      <c r="E59" s="1"/>
      <c r="F59" s="5">
        <f t="shared" si="28"/>
        <v>1.0740221958840644E-3</v>
      </c>
      <c r="G59" s="1"/>
      <c r="H59" s="1">
        <f>SUM(OSRRefH22_5x_0)</f>
        <v>0</v>
      </c>
      <c r="I59" s="1"/>
      <c r="J59" s="5">
        <f t="shared" si="29"/>
        <v>0</v>
      </c>
      <c r="K59" s="1"/>
      <c r="L59" s="1">
        <f t="shared" si="30"/>
        <v>12.46</v>
      </c>
      <c r="M59" s="1"/>
      <c r="N59" s="5">
        <f t="shared" si="31"/>
        <v>0</v>
      </c>
      <c r="O59" s="14"/>
      <c r="P59" s="1">
        <f>SUM(OSRRefP22_5x_0)</f>
        <v>-28.89</v>
      </c>
      <c r="Q59" s="1"/>
      <c r="R59" s="5">
        <f t="shared" si="32"/>
        <v>-3.0757496780523707E-4</v>
      </c>
      <c r="S59" s="1"/>
      <c r="T59" s="1">
        <f>SUM(OSRRefT22_5x_0)</f>
        <v>0</v>
      </c>
      <c r="U59" s="1"/>
      <c r="V59" s="5">
        <f t="shared" si="33"/>
        <v>0</v>
      </c>
      <c r="W59" s="1"/>
      <c r="X59" s="1">
        <f t="shared" si="34"/>
        <v>-28.89</v>
      </c>
      <c r="Y59" s="1"/>
      <c r="Z59" s="5">
        <f t="shared" si="35"/>
        <v>0</v>
      </c>
    </row>
    <row r="60" spans="1:26" s="24" customFormat="1" hidden="1" outlineLevel="2" x14ac:dyDescent="0.3">
      <c r="A60" s="29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0</v>
      </c>
      <c r="Y60" s="2"/>
      <c r="Z60" s="7">
        <f t="shared" si="35"/>
        <v>0</v>
      </c>
    </row>
    <row r="61" spans="1:26" s="24" customFormat="1" hidden="1" outlineLevel="2" x14ac:dyDescent="0.3">
      <c r="A61" s="29"/>
      <c r="B61" s="11" t="str">
        <f>CONCATENATE("          ", "9175", " - ", "EARNED DISCOUNTS")</f>
        <v xml:space="preserve">          9175 - EARNED DISCOUNTS</v>
      </c>
      <c r="C61" s="11"/>
      <c r="D61" s="6">
        <v>12.46</v>
      </c>
      <c r="E61" s="2"/>
      <c r="F61" s="7">
        <f t="shared" si="28"/>
        <v>1.0740221958840644E-3</v>
      </c>
      <c r="G61" s="2"/>
      <c r="H61" s="6"/>
      <c r="I61" s="2"/>
      <c r="J61" s="7">
        <f t="shared" si="29"/>
        <v>0</v>
      </c>
      <c r="K61" s="2"/>
      <c r="L61" s="6">
        <f t="shared" si="30"/>
        <v>12.46</v>
      </c>
      <c r="M61" s="2"/>
      <c r="N61" s="7">
        <f t="shared" si="31"/>
        <v>0</v>
      </c>
      <c r="O61" s="11"/>
      <c r="P61" s="6">
        <v>-28.89</v>
      </c>
      <c r="Q61" s="2"/>
      <c r="R61" s="7">
        <f t="shared" si="32"/>
        <v>-3.0757496780523707E-4</v>
      </c>
      <c r="S61" s="2"/>
      <c r="T61" s="6"/>
      <c r="U61" s="2"/>
      <c r="V61" s="7">
        <f t="shared" si="33"/>
        <v>0</v>
      </c>
      <c r="W61" s="2"/>
      <c r="X61" s="6">
        <f t="shared" si="34"/>
        <v>-28.89</v>
      </c>
      <c r="Y61" s="2"/>
      <c r="Z61" s="7">
        <f t="shared" si="35"/>
        <v>0</v>
      </c>
    </row>
    <row r="62" spans="1:26" s="28" customFormat="1" outlineLevel="1" collapsed="1" x14ac:dyDescent="0.3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SUM(OSRRefD22_6x_0)</f>
        <v>0</v>
      </c>
      <c r="E62" s="1"/>
      <c r="F62" s="5">
        <f t="shared" ref="F62:F70" si="36">IF(D$12=0,0,D62/D$12)</f>
        <v>0</v>
      </c>
      <c r="G62" s="1"/>
      <c r="H62" s="1">
        <f>SUM(OSRRefH22_6x_0)</f>
        <v>0</v>
      </c>
      <c r="I62" s="1"/>
      <c r="J62" s="5">
        <f t="shared" ref="J62:J70" si="37">IF(H$12=0,0,H62/H$12)</f>
        <v>0</v>
      </c>
      <c r="K62" s="1"/>
      <c r="L62" s="1">
        <f t="shared" ref="L62:L70" si="38">+D62-H62</f>
        <v>0</v>
      </c>
      <c r="M62" s="1"/>
      <c r="N62" s="5">
        <f t="shared" ref="N62:N70" si="39">IF(H62=0,0,L62/H62)</f>
        <v>0</v>
      </c>
      <c r="O62" s="14"/>
      <c r="P62" s="1">
        <f>SUM(OSRRefP22_6x_0)</f>
        <v>54.5</v>
      </c>
      <c r="Q62" s="1"/>
      <c r="R62" s="5">
        <f t="shared" ref="R62:R70" si="40">IF(P$12=0,0,P62/P$12)</f>
        <v>5.8022969004449369E-4</v>
      </c>
      <c r="S62" s="1"/>
      <c r="T62" s="1">
        <f>SUM(OSRRefT22_6x_0)</f>
        <v>0</v>
      </c>
      <c r="U62" s="1"/>
      <c r="V62" s="5">
        <f t="shared" ref="V62:V70" si="41">IF(T$12=0,0,T62/T$12)</f>
        <v>0</v>
      </c>
      <c r="W62" s="1"/>
      <c r="X62" s="1">
        <f t="shared" ref="X62:X70" si="42">+P62-T62</f>
        <v>54.5</v>
      </c>
      <c r="Y62" s="1"/>
      <c r="Z62" s="5">
        <f t="shared" ref="Z62:Z70" si="43">IF(T62=0,0,X62/T62)</f>
        <v>0</v>
      </c>
    </row>
    <row r="63" spans="1:26" s="24" customFormat="1" hidden="1" outlineLevel="2" x14ac:dyDescent="0.3">
      <c r="A63" s="29"/>
      <c r="B63" s="11" t="str">
        <f>CONCATENATE("          ", "6307", " - ", "POSTAGE")</f>
        <v xml:space="preserve">          6307 - POSTAGE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54.5</v>
      </c>
      <c r="Q63" s="2"/>
      <c r="R63" s="7">
        <f t="shared" si="40"/>
        <v>5.8022969004449369E-4</v>
      </c>
      <c r="S63" s="2"/>
      <c r="T63" s="6"/>
      <c r="U63" s="2"/>
      <c r="V63" s="7">
        <f t="shared" si="41"/>
        <v>0</v>
      </c>
      <c r="W63" s="2"/>
      <c r="X63" s="6">
        <f t="shared" si="42"/>
        <v>54.5</v>
      </c>
      <c r="Y63" s="2"/>
      <c r="Z63" s="7">
        <f t="shared" si="43"/>
        <v>0</v>
      </c>
    </row>
    <row r="64" spans="1:26" s="28" customFormat="1" outlineLevel="1" collapsed="1" x14ac:dyDescent="0.3">
      <c r="A64" s="27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SUM(OSRRefD22_7x_0)</f>
        <v>160</v>
      </c>
      <c r="E64" s="1"/>
      <c r="F64" s="5">
        <f t="shared" si="36"/>
        <v>1.3791617282620407E-2</v>
      </c>
      <c r="G64" s="1"/>
      <c r="H64" s="1">
        <f>SUM(OSRRefH22_7x_0)</f>
        <v>0</v>
      </c>
      <c r="I64" s="1"/>
      <c r="J64" s="5">
        <f t="shared" si="37"/>
        <v>0</v>
      </c>
      <c r="K64" s="1"/>
      <c r="L64" s="1">
        <f t="shared" si="38"/>
        <v>160</v>
      </c>
      <c r="M64" s="1"/>
      <c r="N64" s="5">
        <f t="shared" si="39"/>
        <v>0</v>
      </c>
      <c r="O64" s="14"/>
      <c r="P64" s="1">
        <f>SUM(OSRRefP22_7x_0)</f>
        <v>388.04</v>
      </c>
      <c r="Q64" s="1"/>
      <c r="R64" s="5">
        <f t="shared" si="40"/>
        <v>4.1312353931167948E-3</v>
      </c>
      <c r="S64" s="1"/>
      <c r="T64" s="1">
        <f>SUM(OSRRefT22_7x_0)</f>
        <v>0</v>
      </c>
      <c r="U64" s="1"/>
      <c r="V64" s="5">
        <f t="shared" si="41"/>
        <v>0</v>
      </c>
      <c r="W64" s="1"/>
      <c r="X64" s="1">
        <f t="shared" si="42"/>
        <v>388.04</v>
      </c>
      <c r="Y64" s="1"/>
      <c r="Z64" s="5">
        <f t="shared" si="43"/>
        <v>0</v>
      </c>
    </row>
    <row r="65" spans="1:26" s="24" customFormat="1" hidden="1" outlineLevel="2" x14ac:dyDescent="0.3">
      <c r="A65" s="29"/>
      <c r="B65" s="11" t="str">
        <f>CONCATENATE("          ", "6279", " - ", "GENERAL EXPENSE")</f>
        <v xml:space="preserve">          6279 - GENERAL EXPENSE</v>
      </c>
      <c r="C65" s="11"/>
      <c r="D65" s="6">
        <v>160</v>
      </c>
      <c r="E65" s="2"/>
      <c r="F65" s="7">
        <f t="shared" si="36"/>
        <v>1.3791617282620407E-2</v>
      </c>
      <c r="G65" s="2"/>
      <c r="H65" s="6">
        <v>0</v>
      </c>
      <c r="I65" s="2"/>
      <c r="J65" s="7">
        <f t="shared" si="37"/>
        <v>0</v>
      </c>
      <c r="K65" s="2"/>
      <c r="L65" s="6">
        <f t="shared" si="38"/>
        <v>160</v>
      </c>
      <c r="M65" s="2"/>
      <c r="N65" s="7">
        <f t="shared" si="39"/>
        <v>0</v>
      </c>
      <c r="O65" s="11"/>
      <c r="P65" s="6">
        <v>388.04</v>
      </c>
      <c r="Q65" s="2"/>
      <c r="R65" s="7">
        <f t="shared" si="40"/>
        <v>4.1312353931167948E-3</v>
      </c>
      <c r="S65" s="2"/>
      <c r="T65" s="6">
        <v>0</v>
      </c>
      <c r="U65" s="2"/>
      <c r="V65" s="7">
        <f t="shared" si="41"/>
        <v>0</v>
      </c>
      <c r="W65" s="2"/>
      <c r="X65" s="6">
        <f t="shared" si="42"/>
        <v>388.04</v>
      </c>
      <c r="Y65" s="2"/>
      <c r="Z65" s="7">
        <f t="shared" si="43"/>
        <v>0</v>
      </c>
    </row>
    <row r="66" spans="1:26" s="28" customFormat="1" outlineLevel="1" collapsed="1" x14ac:dyDescent="0.3">
      <c r="A66" s="27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SUM(OSRRefD22_8x_0)</f>
        <v>650</v>
      </c>
      <c r="E66" s="1"/>
      <c r="F66" s="5">
        <f t="shared" si="36"/>
        <v>5.6028445210645407E-2</v>
      </c>
      <c r="G66" s="1"/>
      <c r="H66" s="1">
        <f>SUM(OSRRefH22_8x_0)</f>
        <v>650</v>
      </c>
      <c r="I66" s="1"/>
      <c r="J66" s="5">
        <f t="shared" si="37"/>
        <v>2.932419020120906E-2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SUM(OSRRefP22_8x_0)</f>
        <v>3900</v>
      </c>
      <c r="Q66" s="1"/>
      <c r="R66" s="5">
        <f t="shared" si="40"/>
        <v>4.152102369125734E-2</v>
      </c>
      <c r="S66" s="1"/>
      <c r="T66" s="1">
        <f>SUM(OSRRefT22_8x_0)</f>
        <v>3900</v>
      </c>
      <c r="U66" s="1"/>
      <c r="V66" s="5">
        <f t="shared" si="41"/>
        <v>1.4339605991749211E-2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3">
      <c r="A67" s="29"/>
      <c r="B67" s="11" t="str">
        <f>CONCATENATE("          ", "6408", " - ", "INVENTORY ADJUSTMENT")</f>
        <v xml:space="preserve">          6408 - INVENTORY ADJUSTMENT</v>
      </c>
      <c r="C67" s="11"/>
      <c r="D67" s="6">
        <v>650</v>
      </c>
      <c r="E67" s="2"/>
      <c r="F67" s="7">
        <f t="shared" si="36"/>
        <v>5.6028445210645407E-2</v>
      </c>
      <c r="G67" s="2"/>
      <c r="H67" s="6">
        <v>650</v>
      </c>
      <c r="I67" s="2"/>
      <c r="J67" s="7">
        <f t="shared" si="37"/>
        <v>2.932419020120906E-2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3900</v>
      </c>
      <c r="Q67" s="2"/>
      <c r="R67" s="7">
        <f t="shared" si="40"/>
        <v>4.152102369125734E-2</v>
      </c>
      <c r="S67" s="2"/>
      <c r="T67" s="6">
        <v>3900</v>
      </c>
      <c r="U67" s="2"/>
      <c r="V67" s="7">
        <f t="shared" si="41"/>
        <v>1.4339605991749211E-2</v>
      </c>
      <c r="W67" s="2"/>
      <c r="X67" s="6">
        <f t="shared" si="42"/>
        <v>0</v>
      </c>
      <c r="Y67" s="2"/>
      <c r="Z67" s="7">
        <f t="shared" si="43"/>
        <v>0</v>
      </c>
    </row>
    <row r="68" spans="1:26" s="28" customFormat="1" outlineLevel="1" collapsed="1" x14ac:dyDescent="0.3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SUM(OSRRefD22_9x_0)</f>
        <v>139.06</v>
      </c>
      <c r="E68" s="1"/>
      <c r="F68" s="5">
        <f t="shared" si="36"/>
        <v>1.1986639370757462E-2</v>
      </c>
      <c r="G68" s="1"/>
      <c r="H68" s="1">
        <f>SUM(OSRRefH22_9x_0)</f>
        <v>0</v>
      </c>
      <c r="I68" s="1"/>
      <c r="J68" s="5">
        <f t="shared" si="37"/>
        <v>0</v>
      </c>
      <c r="K68" s="1"/>
      <c r="L68" s="1">
        <f t="shared" si="38"/>
        <v>139.06</v>
      </c>
      <c r="M68" s="1"/>
      <c r="N68" s="5">
        <f t="shared" si="39"/>
        <v>0</v>
      </c>
      <c r="O68" s="14"/>
      <c r="P68" s="1">
        <f>SUM(OSRRefP22_9x_0)</f>
        <v>383.39</v>
      </c>
      <c r="Q68" s="1"/>
      <c r="R68" s="5">
        <f t="shared" si="40"/>
        <v>4.0817295571772185E-3</v>
      </c>
      <c r="S68" s="1"/>
      <c r="T68" s="1">
        <f>SUM(OSRRefT22_9x_0)</f>
        <v>0</v>
      </c>
      <c r="U68" s="1"/>
      <c r="V68" s="5">
        <f t="shared" si="41"/>
        <v>0</v>
      </c>
      <c r="W68" s="1"/>
      <c r="X68" s="1">
        <f t="shared" si="42"/>
        <v>383.39</v>
      </c>
      <c r="Y68" s="1"/>
      <c r="Z68" s="5">
        <f t="shared" si="43"/>
        <v>0</v>
      </c>
    </row>
    <row r="69" spans="1:26" s="24" customFormat="1" hidden="1" outlineLevel="2" x14ac:dyDescent="0.3">
      <c r="A69" s="29"/>
      <c r="B69" s="11" t="str">
        <f>CONCATENATE("          ", "6373", " - ", "MAINTENANCE CONTRACTS")</f>
        <v xml:space="preserve">          6373 - MAINTENANCE CONTRACTS</v>
      </c>
      <c r="C69" s="11"/>
      <c r="D69" s="6">
        <v>139.06</v>
      </c>
      <c r="E69" s="2"/>
      <c r="F69" s="7">
        <f t="shared" si="36"/>
        <v>1.1986639370757462E-2</v>
      </c>
      <c r="G69" s="2"/>
      <c r="H69" s="6"/>
      <c r="I69" s="2"/>
      <c r="J69" s="7">
        <f t="shared" si="37"/>
        <v>0</v>
      </c>
      <c r="K69" s="2"/>
      <c r="L69" s="6">
        <f t="shared" si="38"/>
        <v>139.06</v>
      </c>
      <c r="M69" s="2"/>
      <c r="N69" s="7">
        <f t="shared" si="39"/>
        <v>0</v>
      </c>
      <c r="O69" s="11"/>
      <c r="P69" s="6">
        <v>200.17</v>
      </c>
      <c r="Q69" s="2"/>
      <c r="R69" s="7">
        <f t="shared" si="40"/>
        <v>2.1310931569946106E-3</v>
      </c>
      <c r="S69" s="2"/>
      <c r="T69" s="6"/>
      <c r="U69" s="2"/>
      <c r="V69" s="7">
        <f t="shared" si="41"/>
        <v>0</v>
      </c>
      <c r="W69" s="2"/>
      <c r="X69" s="6">
        <f t="shared" si="42"/>
        <v>200.17</v>
      </c>
      <c r="Y69" s="2"/>
      <c r="Z69" s="7">
        <f t="shared" si="43"/>
        <v>0</v>
      </c>
    </row>
    <row r="70" spans="1:26" s="24" customFormat="1" hidden="1" outlineLevel="2" x14ac:dyDescent="0.3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183.22</v>
      </c>
      <c r="Q70" s="2"/>
      <c r="R70" s="7">
        <f t="shared" si="40"/>
        <v>1.9506364001826077E-3</v>
      </c>
      <c r="S70" s="2"/>
      <c r="T70" s="6"/>
      <c r="U70" s="2"/>
      <c r="V70" s="7">
        <f t="shared" si="41"/>
        <v>0</v>
      </c>
      <c r="W70" s="2"/>
      <c r="X70" s="6">
        <f t="shared" si="42"/>
        <v>183.22</v>
      </c>
      <c r="Y70" s="2"/>
      <c r="Z70" s="7">
        <f t="shared" si="43"/>
        <v>0</v>
      </c>
    </row>
    <row r="71" spans="1:26" s="28" customFormat="1" outlineLevel="1" collapsed="1" x14ac:dyDescent="0.3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SUM(OSRRefD22_10x_0)</f>
        <v>273.81</v>
      </c>
      <c r="E71" s="1"/>
      <c r="F71" s="5">
        <f t="shared" ref="F71:F73" si="44">IF(D$12=0,0,D71/D$12)</f>
        <v>2.3601767050964336E-2</v>
      </c>
      <c r="G71" s="1"/>
      <c r="H71" s="1">
        <f>SUM(OSRRefH22_10x_0)</f>
        <v>0</v>
      </c>
      <c r="I71" s="1"/>
      <c r="J71" s="5">
        <f t="shared" ref="J71:J73" si="45">IF(H$12=0,0,H71/H$12)</f>
        <v>0</v>
      </c>
      <c r="K71" s="1"/>
      <c r="L71" s="1">
        <f t="shared" ref="L71:L73" si="46">+D71-H71</f>
        <v>273.81</v>
      </c>
      <c r="M71" s="1"/>
      <c r="N71" s="5">
        <f t="shared" ref="N71:N73" si="47">IF(H71=0,0,L71/H71)</f>
        <v>0</v>
      </c>
      <c r="O71" s="14"/>
      <c r="P71" s="1">
        <f>SUM(OSRRefP22_10x_0)</f>
        <v>3437.25</v>
      </c>
      <c r="Q71" s="1"/>
      <c r="R71" s="5">
        <f t="shared" ref="R71:R73" si="48">IF(P$12=0,0,P71/P$12)</f>
        <v>3.6594394534044693E-2</v>
      </c>
      <c r="S71" s="1"/>
      <c r="T71" s="1">
        <f>SUM(OSRRefT22_10x_0)</f>
        <v>0</v>
      </c>
      <c r="U71" s="1"/>
      <c r="V71" s="5">
        <f t="shared" ref="V71:V73" si="49">IF(T$12=0,0,T71/T$12)</f>
        <v>0</v>
      </c>
      <c r="W71" s="1"/>
      <c r="X71" s="1">
        <f t="shared" ref="X71:X73" si="50">+P71-T71</f>
        <v>3437.25</v>
      </c>
      <c r="Y71" s="1"/>
      <c r="Z71" s="5">
        <f t="shared" ref="Z71:Z73" si="51">IF(T71=0,0,X71/T71)</f>
        <v>0</v>
      </c>
    </row>
    <row r="72" spans="1:26" s="24" customFormat="1" hidden="1" outlineLevel="2" x14ac:dyDescent="0.3">
      <c r="A72" s="29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138</v>
      </c>
      <c r="E72" s="2"/>
      <c r="F72" s="7">
        <f t="shared" si="44"/>
        <v>1.1895269906260102E-2</v>
      </c>
      <c r="G72" s="2"/>
      <c r="H72" s="6"/>
      <c r="I72" s="2"/>
      <c r="J72" s="7">
        <f t="shared" si="45"/>
        <v>0</v>
      </c>
      <c r="K72" s="2"/>
      <c r="L72" s="6">
        <f t="shared" si="46"/>
        <v>138</v>
      </c>
      <c r="M72" s="2"/>
      <c r="N72" s="7">
        <f t="shared" si="47"/>
        <v>0</v>
      </c>
      <c r="O72" s="11"/>
      <c r="P72" s="6">
        <v>629.6</v>
      </c>
      <c r="Q72" s="2"/>
      <c r="R72" s="7">
        <f t="shared" si="48"/>
        <v>6.702983722055288E-3</v>
      </c>
      <c r="S72" s="2"/>
      <c r="T72" s="6"/>
      <c r="U72" s="2"/>
      <c r="V72" s="7">
        <f t="shared" si="49"/>
        <v>0</v>
      </c>
      <c r="W72" s="2"/>
      <c r="X72" s="6">
        <f t="shared" si="50"/>
        <v>629.6</v>
      </c>
      <c r="Y72" s="2"/>
      <c r="Z72" s="7">
        <f t="shared" si="51"/>
        <v>0</v>
      </c>
    </row>
    <row r="73" spans="1:26" s="24" customFormat="1" hidden="1" outlineLevel="2" x14ac:dyDescent="0.3">
      <c r="A73" s="29"/>
      <c r="B73" s="11" t="str">
        <f>CONCATENATE("          ", "6285", " - ", "JANITORIAL SERVICES")</f>
        <v xml:space="preserve">          6285 - JANITORIAL SERVICES</v>
      </c>
      <c r="C73" s="11"/>
      <c r="D73" s="6">
        <v>135.81</v>
      </c>
      <c r="E73" s="2"/>
      <c r="F73" s="7">
        <f t="shared" si="44"/>
        <v>1.1706497144704234E-2</v>
      </c>
      <c r="G73" s="2"/>
      <c r="H73" s="6"/>
      <c r="I73" s="2"/>
      <c r="J73" s="7">
        <f t="shared" si="45"/>
        <v>0</v>
      </c>
      <c r="K73" s="2"/>
      <c r="L73" s="6">
        <f t="shared" si="46"/>
        <v>135.81</v>
      </c>
      <c r="M73" s="2"/>
      <c r="N73" s="7">
        <f t="shared" si="47"/>
        <v>0</v>
      </c>
      <c r="O73" s="11"/>
      <c r="P73" s="6">
        <v>2807.65</v>
      </c>
      <c r="Q73" s="2"/>
      <c r="R73" s="7">
        <f t="shared" si="48"/>
        <v>2.9891410811989406E-2</v>
      </c>
      <c r="S73" s="2"/>
      <c r="T73" s="6"/>
      <c r="U73" s="2"/>
      <c r="V73" s="7">
        <f t="shared" si="49"/>
        <v>0</v>
      </c>
      <c r="W73" s="2"/>
      <c r="X73" s="6">
        <f t="shared" si="50"/>
        <v>2807.65</v>
      </c>
      <c r="Y73" s="2"/>
      <c r="Z73" s="7">
        <f t="shared" si="51"/>
        <v>0</v>
      </c>
    </row>
    <row r="74" spans="1:26" s="28" customFormat="1" outlineLevel="1" collapsed="1" x14ac:dyDescent="0.3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SUM(OSRRefD22_11x_0)</f>
        <v>11.03</v>
      </c>
      <c r="E74" s="1"/>
      <c r="F74" s="5">
        <f t="shared" ref="F74:F78" si="52">IF(D$12=0,0,D74/D$12)</f>
        <v>9.5075961642064426E-4</v>
      </c>
      <c r="G74" s="1"/>
      <c r="H74" s="1">
        <f>SUM(OSRRefH22_11x_0)</f>
        <v>75</v>
      </c>
      <c r="I74" s="1"/>
      <c r="J74" s="5">
        <f t="shared" ref="J74:J78" si="53">IF(H$12=0,0,H74/H$12)</f>
        <v>3.3835604078318146E-3</v>
      </c>
      <c r="K74" s="1"/>
      <c r="L74" s="1">
        <f t="shared" ref="L74:L78" si="54">+D74-H74</f>
        <v>-63.97</v>
      </c>
      <c r="M74" s="1"/>
      <c r="N74" s="5">
        <f t="shared" ref="N74:N78" si="55">IF(H74=0,0,L74/H74)</f>
        <v>-0.85293333333333332</v>
      </c>
      <c r="O74" s="14"/>
      <c r="P74" s="1">
        <f>SUM(OSRRefP22_11x_0)</f>
        <v>1747.49</v>
      </c>
      <c r="Q74" s="1"/>
      <c r="R74" s="5">
        <f t="shared" ref="R74:R78" si="56">IF(P$12=0,0,P74/P$12)</f>
        <v>1.8604506074419307E-2</v>
      </c>
      <c r="S74" s="1"/>
      <c r="T74" s="1">
        <f>SUM(OSRRefT22_11x_0)</f>
        <v>450</v>
      </c>
      <c r="U74" s="1"/>
      <c r="V74" s="5">
        <f t="shared" ref="V74:V78" si="57">IF(T$12=0,0,T74/T$12)</f>
        <v>1.654569922124909E-3</v>
      </c>
      <c r="W74" s="1"/>
      <c r="X74" s="1">
        <f t="shared" ref="X74:X78" si="58">+P74-T74</f>
        <v>1297.49</v>
      </c>
      <c r="Y74" s="1"/>
      <c r="Z74" s="5">
        <f t="shared" ref="Z74:Z78" si="59">IF(T74=0,0,X74/T74)</f>
        <v>2.8833111111111109</v>
      </c>
    </row>
    <row r="75" spans="1:26" s="24" customFormat="1" hidden="1" outlineLevel="2" x14ac:dyDescent="0.3">
      <c r="A75" s="29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1393.55</v>
      </c>
      <c r="Q75" s="2"/>
      <c r="R75" s="7">
        <f t="shared" si="56"/>
        <v>1.4836313478192736E-2</v>
      </c>
      <c r="S75" s="2"/>
      <c r="T75" s="6"/>
      <c r="U75" s="2"/>
      <c r="V75" s="7">
        <f t="shared" si="57"/>
        <v>0</v>
      </c>
      <c r="W75" s="2"/>
      <c r="X75" s="6">
        <f t="shared" si="58"/>
        <v>1393.55</v>
      </c>
      <c r="Y75" s="2"/>
      <c r="Z75" s="7">
        <f t="shared" si="59"/>
        <v>0</v>
      </c>
    </row>
    <row r="76" spans="1:26" s="24" customFormat="1" hidden="1" outlineLevel="2" x14ac:dyDescent="0.3">
      <c r="A76" s="29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52"/>
        <v>0</v>
      </c>
      <c r="G76" s="2"/>
      <c r="H76" s="6">
        <v>25</v>
      </c>
      <c r="I76" s="2"/>
      <c r="J76" s="7">
        <f t="shared" si="53"/>
        <v>1.1278534692772714E-3</v>
      </c>
      <c r="K76" s="2"/>
      <c r="L76" s="6">
        <f t="shared" si="54"/>
        <v>-25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150</v>
      </c>
      <c r="U76" s="2"/>
      <c r="V76" s="7">
        <f t="shared" si="57"/>
        <v>5.5152330737496971E-4</v>
      </c>
      <c r="W76" s="2"/>
      <c r="X76" s="6">
        <f t="shared" si="58"/>
        <v>-150</v>
      </c>
      <c r="Y76" s="2"/>
      <c r="Z76" s="7">
        <f t="shared" si="59"/>
        <v>-1</v>
      </c>
    </row>
    <row r="77" spans="1:26" s="24" customFormat="1" hidden="1" outlineLevel="2" x14ac:dyDescent="0.3">
      <c r="A77" s="29"/>
      <c r="B77" s="11" t="str">
        <f>CONCATENATE("          ", "6241", " - ", "OFFICE EXPENSE")</f>
        <v xml:space="preserve">          6241 - OFFICE EXPENSE</v>
      </c>
      <c r="C77" s="11"/>
      <c r="D77" s="6">
        <v>11.03</v>
      </c>
      <c r="E77" s="2"/>
      <c r="F77" s="7">
        <f t="shared" si="52"/>
        <v>9.5075961642064426E-4</v>
      </c>
      <c r="G77" s="2"/>
      <c r="H77" s="6">
        <v>25</v>
      </c>
      <c r="I77" s="2"/>
      <c r="J77" s="7">
        <f t="shared" si="53"/>
        <v>1.1278534692772714E-3</v>
      </c>
      <c r="K77" s="2"/>
      <c r="L77" s="6">
        <f t="shared" si="54"/>
        <v>-13.97</v>
      </c>
      <c r="M77" s="2"/>
      <c r="N77" s="7">
        <f t="shared" si="55"/>
        <v>-0.55880000000000007</v>
      </c>
      <c r="O77" s="11"/>
      <c r="P77" s="6">
        <v>11.03</v>
      </c>
      <c r="Q77" s="2"/>
      <c r="R77" s="7">
        <f t="shared" si="56"/>
        <v>1.1742997213194064E-4</v>
      </c>
      <c r="S77" s="2"/>
      <c r="T77" s="6">
        <v>150</v>
      </c>
      <c r="U77" s="2"/>
      <c r="V77" s="7">
        <f t="shared" si="57"/>
        <v>5.5152330737496971E-4</v>
      </c>
      <c r="W77" s="2"/>
      <c r="X77" s="6">
        <f t="shared" si="58"/>
        <v>-138.97</v>
      </c>
      <c r="Y77" s="2"/>
      <c r="Z77" s="7">
        <f t="shared" si="59"/>
        <v>-0.92646666666666666</v>
      </c>
    </row>
    <row r="78" spans="1:26" s="24" customFormat="1" hidden="1" outlineLevel="2" x14ac:dyDescent="0.3">
      <c r="A78" s="29"/>
      <c r="B78" s="11" t="str">
        <f>CONCATENATE("          ", "6247", " - ", "STORE SUPPLIES")</f>
        <v xml:space="preserve">          6247 - STORE SUPPLIES</v>
      </c>
      <c r="C78" s="11"/>
      <c r="D78" s="6"/>
      <c r="E78" s="2"/>
      <c r="F78" s="7">
        <f t="shared" si="52"/>
        <v>0</v>
      </c>
      <c r="G78" s="2"/>
      <c r="H78" s="6">
        <v>25</v>
      </c>
      <c r="I78" s="2"/>
      <c r="J78" s="7">
        <f t="shared" si="53"/>
        <v>1.1278534692772714E-3</v>
      </c>
      <c r="K78" s="2"/>
      <c r="L78" s="6">
        <f t="shared" si="54"/>
        <v>-25</v>
      </c>
      <c r="M78" s="2"/>
      <c r="N78" s="7">
        <f t="shared" si="55"/>
        <v>-1</v>
      </c>
      <c r="O78" s="11"/>
      <c r="P78" s="6">
        <v>342.91</v>
      </c>
      <c r="Q78" s="2"/>
      <c r="R78" s="7">
        <f t="shared" si="56"/>
        <v>3.6507626240946298E-3</v>
      </c>
      <c r="S78" s="2"/>
      <c r="T78" s="6">
        <v>150</v>
      </c>
      <c r="U78" s="2"/>
      <c r="V78" s="7">
        <f t="shared" si="57"/>
        <v>5.5152330737496971E-4</v>
      </c>
      <c r="W78" s="2"/>
      <c r="X78" s="6">
        <f t="shared" si="58"/>
        <v>192.91000000000003</v>
      </c>
      <c r="Y78" s="2"/>
      <c r="Z78" s="7">
        <f t="shared" si="59"/>
        <v>1.2860666666666669</v>
      </c>
    </row>
    <row r="79" spans="1:26" s="28" customFormat="1" outlineLevel="1" collapsed="1" x14ac:dyDescent="0.3">
      <c r="A79" s="27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SUM(OSRRefD22_12x_0)</f>
        <v>53</v>
      </c>
      <c r="E79" s="1"/>
      <c r="F79" s="5">
        <f t="shared" ref="F79:F80" si="60">IF(D$12=0,0,D79/D$12)</f>
        <v>4.5684732248680096E-3</v>
      </c>
      <c r="G79" s="1"/>
      <c r="H79" s="1">
        <f>SUM(OSRRefH22_12x_0)</f>
        <v>60</v>
      </c>
      <c r="I79" s="1"/>
      <c r="J79" s="5">
        <f t="shared" ref="J79:J80" si="61">IF(H$12=0,0,H79/H$12)</f>
        <v>2.7068483262654517E-3</v>
      </c>
      <c r="K79" s="1"/>
      <c r="L79" s="1">
        <f t="shared" ref="L79:L80" si="62">+D79-H79</f>
        <v>-7</v>
      </c>
      <c r="M79" s="1"/>
      <c r="N79" s="5">
        <f t="shared" ref="N79:N80" si="63">IF(H79=0,0,L79/H79)</f>
        <v>-0.11666666666666667</v>
      </c>
      <c r="O79" s="14"/>
      <c r="P79" s="1">
        <f>SUM(OSRRefP22_12x_0)</f>
        <v>278</v>
      </c>
      <c r="Q79" s="1"/>
      <c r="R79" s="5">
        <f t="shared" ref="R79:R80" si="64">IF(P$12=0,0,P79/P$12)</f>
        <v>2.959703740043472E-3</v>
      </c>
      <c r="S79" s="1"/>
      <c r="T79" s="1">
        <f>SUM(OSRRefT22_12x_0)</f>
        <v>360</v>
      </c>
      <c r="U79" s="1"/>
      <c r="V79" s="5">
        <f t="shared" ref="V79:V80" si="65">IF(T$12=0,0,T79/T$12)</f>
        <v>1.3236559376999272E-3</v>
      </c>
      <c r="W79" s="1"/>
      <c r="X79" s="1">
        <f t="shared" ref="X79:X80" si="66">+P79-T79</f>
        <v>-82</v>
      </c>
      <c r="Y79" s="1"/>
      <c r="Z79" s="5">
        <f t="shared" ref="Z79:Z80" si="67">IF(T79=0,0,X79/T79)</f>
        <v>-0.22777777777777777</v>
      </c>
    </row>
    <row r="80" spans="1:26" s="24" customFormat="1" hidden="1" outlineLevel="2" x14ac:dyDescent="0.3">
      <c r="A80" s="29"/>
      <c r="B80" s="11" t="str">
        <f>CONCATENATE("          ", "6309", " - ", "TELEPHONE")</f>
        <v xml:space="preserve">          6309 - TELEPHONE</v>
      </c>
      <c r="C80" s="11"/>
      <c r="D80" s="6">
        <v>53</v>
      </c>
      <c r="E80" s="2"/>
      <c r="F80" s="7">
        <f t="shared" si="60"/>
        <v>4.5684732248680096E-3</v>
      </c>
      <c r="G80" s="2"/>
      <c r="H80" s="6">
        <v>60</v>
      </c>
      <c r="I80" s="2"/>
      <c r="J80" s="7">
        <f t="shared" si="61"/>
        <v>2.7068483262654517E-3</v>
      </c>
      <c r="K80" s="2"/>
      <c r="L80" s="6">
        <f t="shared" si="62"/>
        <v>-7</v>
      </c>
      <c r="M80" s="2"/>
      <c r="N80" s="7">
        <f t="shared" si="63"/>
        <v>-0.11666666666666667</v>
      </c>
      <c r="O80" s="11"/>
      <c r="P80" s="6">
        <v>278</v>
      </c>
      <c r="Q80" s="2"/>
      <c r="R80" s="7">
        <f t="shared" si="64"/>
        <v>2.959703740043472E-3</v>
      </c>
      <c r="S80" s="2"/>
      <c r="T80" s="6">
        <v>360</v>
      </c>
      <c r="U80" s="2"/>
      <c r="V80" s="7">
        <f t="shared" si="65"/>
        <v>1.3236559376999272E-3</v>
      </c>
      <c r="W80" s="2"/>
      <c r="X80" s="6">
        <f t="shared" si="66"/>
        <v>-82</v>
      </c>
      <c r="Y80" s="2"/>
      <c r="Z80" s="7">
        <f t="shared" si="67"/>
        <v>-0.22777777777777777</v>
      </c>
    </row>
    <row r="81" spans="1:26" s="55" customFormat="1" x14ac:dyDescent="0.3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5" t="s">
        <v>293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10"/>
      <c r="B84" s="26" t="s">
        <v>277</v>
      </c>
      <c r="C84" s="26"/>
      <c r="D84" s="20">
        <f>+D30-D32+D82</f>
        <v>-2021.2800000000016</v>
      </c>
      <c r="E84" s="13"/>
      <c r="F84" s="22">
        <f>IF(D$12=0,0,D84/D$12)</f>
        <v>-0.17422950113134375</v>
      </c>
      <c r="G84" s="13"/>
      <c r="H84" s="20">
        <f>+H30-H32+H82</f>
        <v>191.384399999999</v>
      </c>
      <c r="I84" s="13"/>
      <c r="J84" s="22">
        <f>IF(H$12=0,0,H84/H$12)</f>
        <v>8.6341423802219174E-3</v>
      </c>
      <c r="K84" s="16"/>
      <c r="L84" s="20">
        <f>+D84-H84</f>
        <v>-2212.6644000000006</v>
      </c>
      <c r="M84" s="16"/>
      <c r="N84" s="22">
        <f>IF(H84=0,0,L84/H84)</f>
        <v>-11.561362368092761</v>
      </c>
      <c r="O84" s="25"/>
      <c r="P84" s="20">
        <f>+P30-P32+P82</f>
        <v>12818.049999999981</v>
      </c>
      <c r="Q84" s="13"/>
      <c r="R84" s="22">
        <f>IF(P$12=0,0,P84/P$12)</f>
        <v>0.13646629685274883</v>
      </c>
      <c r="S84" s="13"/>
      <c r="T84" s="20">
        <f>+T30-T32+T82</f>
        <v>52052.461249999993</v>
      </c>
      <c r="U84" s="13"/>
      <c r="V84" s="22">
        <f>IF(T$12=0,0,T84/T$12)</f>
        <v>0.19138763723738295</v>
      </c>
      <c r="W84" s="16"/>
      <c r="X84" s="20">
        <f>+P84-T84</f>
        <v>-39234.411250000012</v>
      </c>
      <c r="Y84" s="16"/>
      <c r="Z84" s="22">
        <f>IF(T84=0,0,X84/T84)</f>
        <v>-0.75374747529349573</v>
      </c>
    </row>
    <row r="85" spans="1:26" x14ac:dyDescent="0.3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52"/>
      <c r="B86" s="10" t="s">
        <v>128</v>
      </c>
      <c r="C86" s="10"/>
      <c r="D86" s="4">
        <v>1500.11</v>
      </c>
      <c r="E86" s="4"/>
      <c r="F86" s="12">
        <f>IF(D$12=0,0,D86/D$12)</f>
        <v>0.1293058937614481</v>
      </c>
      <c r="G86" s="4"/>
      <c r="H86" s="4">
        <v>3984</v>
      </c>
      <c r="I86" s="4"/>
      <c r="J86" s="12">
        <f>IF(H$12=0,0,H86/H$12)</f>
        <v>0.17973472886402597</v>
      </c>
      <c r="K86" s="4"/>
      <c r="L86" s="4">
        <f>+D86-H86</f>
        <v>-2483.8900000000003</v>
      </c>
      <c r="M86" s="4"/>
      <c r="N86" s="12">
        <f>IF(H86=0,0,L86/H86)</f>
        <v>-0.62346636546184753</v>
      </c>
      <c r="O86" s="10"/>
      <c r="P86" s="4">
        <v>11306.23</v>
      </c>
      <c r="Q86" s="4"/>
      <c r="R86" s="12">
        <f>IF(P$12=0,0,P86/P$12)</f>
        <v>0.12037083171507808</v>
      </c>
      <c r="S86" s="4"/>
      <c r="T86" s="4">
        <v>35213</v>
      </c>
      <c r="U86" s="4"/>
      <c r="V86" s="12">
        <f>IF(T$12=0,0,T86/T$12)</f>
        <v>0.12947193481729871</v>
      </c>
      <c r="W86" s="4"/>
      <c r="X86" s="4">
        <f>+P86-T86</f>
        <v>-23906.77</v>
      </c>
      <c r="Y86" s="4"/>
      <c r="Z86" s="12">
        <f>IF(T86=0,0,X86/T86)</f>
        <v>-0.67891886519183253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6" t="s">
        <v>126</v>
      </c>
      <c r="C88" s="26"/>
      <c r="D88" s="31">
        <f>+D84-D86</f>
        <v>-3521.3900000000012</v>
      </c>
      <c r="E88" s="13"/>
      <c r="F88" s="30">
        <f>IF(D$12=0,0,D88/D$12)</f>
        <v>-0.30353539489279185</v>
      </c>
      <c r="G88" s="13"/>
      <c r="H88" s="31">
        <f>+H84-H86</f>
        <v>-3792.615600000001</v>
      </c>
      <c r="I88" s="13"/>
      <c r="J88" s="30">
        <f>IF(H$12=0,0,H88/H$12)</f>
        <v>-0.17110058648380408</v>
      </c>
      <c r="K88" s="16"/>
      <c r="L88" s="31">
        <f>D88-H88</f>
        <v>271.22559999999976</v>
      </c>
      <c r="M88" s="16"/>
      <c r="N88" s="30">
        <f>IF(H88=0,0,L88/H88)</f>
        <v>-7.1514128666242807E-2</v>
      </c>
      <c r="O88" s="25"/>
      <c r="P88" s="31">
        <f>+P84-P86</f>
        <v>1511.8199999999815</v>
      </c>
      <c r="Q88" s="13"/>
      <c r="R88" s="30">
        <f>IF(P$12=0,0,P88/P$12)</f>
        <v>1.6095465137670746E-2</v>
      </c>
      <c r="S88" s="13"/>
      <c r="T88" s="31">
        <f>+T84-T86</f>
        <v>16839.461249999993</v>
      </c>
      <c r="U88" s="13"/>
      <c r="V88" s="30">
        <f>IF(T$12=0,0,T88/T$12)</f>
        <v>6.1915702420084248E-2</v>
      </c>
      <c r="W88" s="16"/>
      <c r="X88" s="31">
        <f>P88-T88</f>
        <v>-15327.641250000011</v>
      </c>
      <c r="Y88" s="16"/>
      <c r="Z88" s="30">
        <f>IF(T88=0,0,X88/T88)</f>
        <v>-0.9102215933422465</v>
      </c>
    </row>
    <row r="89" spans="1:26" ht="15" thickTop="1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294</v>
      </c>
      <c r="C91" s="26"/>
      <c r="D91" s="35">
        <f>SUM(D88:D90)</f>
        <v>-3521.3900000000012</v>
      </c>
      <c r="E91" s="13"/>
      <c r="F91" s="34">
        <f>IF(D$12=0,0,D91/D$12)</f>
        <v>-0.30353539489279185</v>
      </c>
      <c r="G91" s="13"/>
      <c r="H91" s="35">
        <f>SUM(H88:H90)</f>
        <v>-3792.615600000001</v>
      </c>
      <c r="I91" s="13"/>
      <c r="J91" s="34">
        <f>IF(H$12=0,0,H91/H$12)</f>
        <v>-0.17110058648380408</v>
      </c>
      <c r="K91" s="16"/>
      <c r="L91" s="35">
        <f>+D91-H91</f>
        <v>271.22559999999976</v>
      </c>
      <c r="M91" s="16"/>
      <c r="N91" s="34">
        <f>IF(H91=0,0,L91/H91)</f>
        <v>-7.1514128666242807E-2</v>
      </c>
      <c r="O91" s="25"/>
      <c r="P91" s="35">
        <f>SUM(P88:P90)</f>
        <v>1511.8199999999815</v>
      </c>
      <c r="Q91" s="13"/>
      <c r="R91" s="34">
        <f>IF(P$12=0,0,P91/P$12)</f>
        <v>1.6095465137670746E-2</v>
      </c>
      <c r="S91" s="13"/>
      <c r="T91" s="35">
        <f>SUM(T88:T90)</f>
        <v>16839.461249999993</v>
      </c>
      <c r="U91" s="13"/>
      <c r="V91" s="34">
        <f>IF(T$12=0,0,T91/T$12)</f>
        <v>6.1915702420084248E-2</v>
      </c>
      <c r="W91" s="16"/>
      <c r="X91" s="35">
        <f>+P91-T91</f>
        <v>-15327.641250000011</v>
      </c>
      <c r="Y91" s="16"/>
      <c r="Z91" s="34">
        <f>IF(T91=0,0,X91/T91)</f>
        <v>-0.9102215933422465</v>
      </c>
    </row>
    <row r="92" spans="1:26" ht="15" thickTop="1" x14ac:dyDescent="0.3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3">
      <c r="A93" s="9"/>
      <c r="B93" s="61">
        <v>44575.842125659721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3">
      <c r="A94" s="9"/>
      <c r="B94" s="62" t="s">
        <v>56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3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0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47972.719999999994</v>
      </c>
      <c r="E12" s="4"/>
      <c r="F12" s="12"/>
      <c r="G12" s="4"/>
      <c r="H12" s="4">
        <f>SUM(OSRRefH13x_0)</f>
        <v>66007</v>
      </c>
      <c r="I12" s="4"/>
      <c r="J12" s="12"/>
      <c r="K12" s="4"/>
      <c r="L12" s="4">
        <f t="shared" ref="L12:L17" si="0">+D12-H12</f>
        <v>-18034.280000000006</v>
      </c>
      <c r="M12" s="4"/>
      <c r="N12" s="12">
        <f t="shared" ref="N12:N17" si="1">IF(H12=0,0,L12/H12)</f>
        <v>-0.27321768903298144</v>
      </c>
      <c r="O12" s="10"/>
      <c r="P12" s="4">
        <f>SUM(OSRRefP13x_0)</f>
        <v>1399609.87</v>
      </c>
      <c r="Q12" s="4"/>
      <c r="R12" s="12"/>
      <c r="S12" s="4"/>
      <c r="T12" s="4">
        <f>SUM(OSRRefT13x_0)</f>
        <v>2868649</v>
      </c>
      <c r="U12" s="4"/>
      <c r="V12" s="12"/>
      <c r="W12" s="4"/>
      <c r="X12" s="4">
        <f t="shared" ref="X12:X17" si="2">+P12-T12</f>
        <v>-1469039.13</v>
      </c>
      <c r="Y12" s="4"/>
      <c r="Z12" s="12">
        <f t="shared" ref="Z12:Z17" si="3">IF(T12=0,0,X12/T12)</f>
        <v>-0.51210138640175218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--17446.59</f>
        <v>17446.59</v>
      </c>
      <c r="E13" s="2"/>
      <c r="F13" s="19"/>
      <c r="G13" s="2"/>
      <c r="H13" s="2">
        <v>66007</v>
      </c>
      <c r="I13" s="2"/>
      <c r="J13" s="19"/>
      <c r="K13" s="2"/>
      <c r="L13" s="2">
        <f t="shared" si="0"/>
        <v>-48560.41</v>
      </c>
      <c r="M13" s="2"/>
      <c r="N13" s="19">
        <f t="shared" si="1"/>
        <v>-0.73568576060114843</v>
      </c>
      <c r="O13" s="11"/>
      <c r="P13" s="2">
        <f>--1004834.06</f>
        <v>1004834.06</v>
      </c>
      <c r="Q13" s="2"/>
      <c r="R13" s="19"/>
      <c r="S13" s="2"/>
      <c r="T13" s="2">
        <v>2868649</v>
      </c>
      <c r="U13" s="2"/>
      <c r="V13" s="19"/>
      <c r="W13" s="2"/>
      <c r="X13" s="2">
        <f t="shared" si="2"/>
        <v>-1863814.94</v>
      </c>
      <c r="Y13" s="2"/>
      <c r="Z13" s="19">
        <f t="shared" si="3"/>
        <v>-0.64971871427978811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--32055.36</f>
        <v>32055.360000000001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32055.360000000001</v>
      </c>
      <c r="M14" s="2"/>
      <c r="N14" s="19">
        <f t="shared" si="1"/>
        <v>0</v>
      </c>
      <c r="O14" s="11"/>
      <c r="P14" s="2">
        <f>--451307.5</f>
        <v>451307.5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451307.5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-407.24</f>
        <v>-407.24</v>
      </c>
      <c r="E15" s="2"/>
      <c r="F15" s="19"/>
      <c r="G15" s="2"/>
      <c r="H15" s="2"/>
      <c r="I15" s="2"/>
      <c r="J15" s="19"/>
      <c r="K15" s="2"/>
      <c r="L15" s="2">
        <f t="shared" si="0"/>
        <v>-407.24</v>
      </c>
      <c r="M15" s="2"/>
      <c r="N15" s="19">
        <f t="shared" si="1"/>
        <v>0</v>
      </c>
      <c r="O15" s="11"/>
      <c r="P15" s="2">
        <f>-29393.02</f>
        <v>-29393.02</v>
      </c>
      <c r="Q15" s="2"/>
      <c r="R15" s="19"/>
      <c r="S15" s="2"/>
      <c r="T15" s="2"/>
      <c r="U15" s="2"/>
      <c r="V15" s="19"/>
      <c r="W15" s="2"/>
      <c r="X15" s="2">
        <f t="shared" si="2"/>
        <v>-29393.02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-510.16</f>
        <v>-510.16</v>
      </c>
      <c r="E16" s="2"/>
      <c r="F16" s="19"/>
      <c r="G16" s="2"/>
      <c r="H16" s="2"/>
      <c r="I16" s="2"/>
      <c r="J16" s="19"/>
      <c r="K16" s="2"/>
      <c r="L16" s="2">
        <f t="shared" si="0"/>
        <v>-510.16</v>
      </c>
      <c r="M16" s="2"/>
      <c r="N16" s="19">
        <f t="shared" si="1"/>
        <v>0</v>
      </c>
      <c r="O16" s="11"/>
      <c r="P16" s="2">
        <f>-25903.14</f>
        <v>-25903.14</v>
      </c>
      <c r="Q16" s="2"/>
      <c r="R16" s="19"/>
      <c r="S16" s="2"/>
      <c r="T16" s="2"/>
      <c r="U16" s="2"/>
      <c r="V16" s="19"/>
      <c r="W16" s="2"/>
      <c r="X16" s="2">
        <f t="shared" si="2"/>
        <v>-25903.14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-611.83</f>
        <v>-611.83000000000004</v>
      </c>
      <c r="E17" s="2"/>
      <c r="F17" s="19"/>
      <c r="G17" s="2"/>
      <c r="H17" s="2"/>
      <c r="I17" s="2"/>
      <c r="J17" s="19"/>
      <c r="K17" s="2"/>
      <c r="L17" s="2">
        <f t="shared" si="0"/>
        <v>-611.83000000000004</v>
      </c>
      <c r="M17" s="2"/>
      <c r="N17" s="19">
        <f t="shared" si="1"/>
        <v>0</v>
      </c>
      <c r="O17" s="11"/>
      <c r="P17" s="2">
        <f>-1235.53</f>
        <v>-1235.53</v>
      </c>
      <c r="Q17" s="2"/>
      <c r="R17" s="19"/>
      <c r="S17" s="2"/>
      <c r="T17" s="2"/>
      <c r="U17" s="2"/>
      <c r="V17" s="19"/>
      <c r="W17" s="2"/>
      <c r="X17" s="2">
        <f t="shared" si="2"/>
        <v>-1235.53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38599.1</v>
      </c>
      <c r="E19" s="4"/>
      <c r="F19" s="12">
        <f t="shared" ref="F19:F29" si="4">IF(D$12=0,0,D19/D$12)</f>
        <v>0.80460520062235374</v>
      </c>
      <c r="G19" s="4"/>
      <c r="H19" s="4">
        <f>SUM(OSRRefH16x_0)</f>
        <v>47709</v>
      </c>
      <c r="I19" s="4"/>
      <c r="J19" s="12">
        <f t="shared" ref="J19:J29" si="5">IF(H$12=0,0,H19/H$12)</f>
        <v>0.72278697713878826</v>
      </c>
      <c r="K19" s="4"/>
      <c r="L19" s="4">
        <f t="shared" ref="L19:L29" si="6">+D19-H19</f>
        <v>-9109.9000000000015</v>
      </c>
      <c r="M19" s="4"/>
      <c r="N19" s="12">
        <f t="shared" ref="N19:N29" si="7">IF(H19=0,0,L19/H19)</f>
        <v>-0.19094720073780633</v>
      </c>
      <c r="O19" s="10"/>
      <c r="P19" s="4">
        <f>SUM(OSRRefP16x_0)</f>
        <v>1140871.6799999999</v>
      </c>
      <c r="Q19" s="4"/>
      <c r="R19" s="12">
        <f t="shared" ref="R19:R29" si="8">IF(P$12=0,0,P19/P$12)</f>
        <v>0.81513549200678315</v>
      </c>
      <c r="S19" s="4"/>
      <c r="T19" s="4">
        <f>SUM(OSRRefT16x_0)</f>
        <v>2074918</v>
      </c>
      <c r="U19" s="4"/>
      <c r="V19" s="12">
        <f t="shared" ref="V19:V29" si="9">IF(T$12=0,0,T19/T$12)</f>
        <v>0.72330842846231802</v>
      </c>
      <c r="W19" s="4"/>
      <c r="X19" s="4">
        <f t="shared" ref="X19:X29" si="10">+P19-T19</f>
        <v>-934046.32000000007</v>
      </c>
      <c r="Y19" s="4"/>
      <c r="Z19" s="12">
        <f t="shared" ref="Z19:Z29" si="11">IF(T19=0,0,X19/T19)</f>
        <v>-0.45016059429818434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62818.239999999998</v>
      </c>
      <c r="E20" s="2"/>
      <c r="F20" s="19">
        <f t="shared" si="4"/>
        <v>1.309457541702868</v>
      </c>
      <c r="G20" s="2"/>
      <c r="H20" s="2">
        <v>47709</v>
      </c>
      <c r="I20" s="2"/>
      <c r="J20" s="19">
        <f t="shared" si="5"/>
        <v>0.72278697713878826</v>
      </c>
      <c r="K20" s="2"/>
      <c r="L20" s="2">
        <f t="shared" si="6"/>
        <v>15109.239999999998</v>
      </c>
      <c r="M20" s="2"/>
      <c r="N20" s="19">
        <f t="shared" si="7"/>
        <v>0.31669580163071953</v>
      </c>
      <c r="O20" s="11"/>
      <c r="P20" s="2">
        <v>1404441.04</v>
      </c>
      <c r="Q20" s="2"/>
      <c r="R20" s="19">
        <f t="shared" si="8"/>
        <v>1.0034517976070003</v>
      </c>
      <c r="S20" s="2"/>
      <c r="T20" s="2">
        <v>2074918</v>
      </c>
      <c r="U20" s="2"/>
      <c r="V20" s="19">
        <f t="shared" si="9"/>
        <v>0.72330842846231802</v>
      </c>
      <c r="W20" s="2"/>
      <c r="X20" s="2">
        <f t="shared" si="10"/>
        <v>-670476.96</v>
      </c>
      <c r="Y20" s="2"/>
      <c r="Z20" s="19">
        <f t="shared" si="11"/>
        <v>-0.32313419614654648</v>
      </c>
    </row>
    <row r="21" spans="1:26" s="24" customFormat="1" hidden="1" outlineLevel="1" x14ac:dyDescent="0.3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-66175.399999999994</v>
      </c>
      <c r="E24" s="2"/>
      <c r="F24" s="19">
        <f t="shared" si="4"/>
        <v>-1.3794381473470756</v>
      </c>
      <c r="G24" s="2"/>
      <c r="H24" s="2"/>
      <c r="I24" s="2"/>
      <c r="J24" s="19">
        <f t="shared" si="5"/>
        <v>0</v>
      </c>
      <c r="K24" s="2"/>
      <c r="L24" s="2">
        <f t="shared" si="6"/>
        <v>-66175.399999999994</v>
      </c>
      <c r="M24" s="2"/>
      <c r="N24" s="19">
        <f t="shared" si="7"/>
        <v>0</v>
      </c>
      <c r="O24" s="11"/>
      <c r="P24" s="2">
        <v>-1190579.81</v>
      </c>
      <c r="Q24" s="2"/>
      <c r="R24" s="19">
        <f t="shared" si="8"/>
        <v>-0.85065119610795537</v>
      </c>
      <c r="S24" s="2"/>
      <c r="T24" s="2"/>
      <c r="U24" s="2"/>
      <c r="V24" s="19">
        <f t="shared" si="9"/>
        <v>0</v>
      </c>
      <c r="W24" s="2"/>
      <c r="X24" s="2">
        <f t="shared" si="10"/>
        <v>-1190579.81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"5300", " - ", "COG$ OFFSET")</f>
        <v xml:space="preserve">          5300 - COG$ OFFSET</v>
      </c>
      <c r="C25" s="11"/>
      <c r="D25" s="2">
        <v>41134.559999999998</v>
      </c>
      <c r="E25" s="2"/>
      <c r="F25" s="19">
        <f t="shared" si="4"/>
        <v>0.85745732157776344</v>
      </c>
      <c r="G25" s="2"/>
      <c r="H25" s="2"/>
      <c r="I25" s="2"/>
      <c r="J25" s="19">
        <f t="shared" si="5"/>
        <v>0</v>
      </c>
      <c r="K25" s="2"/>
      <c r="L25" s="2">
        <f t="shared" si="6"/>
        <v>41134.559999999998</v>
      </c>
      <c r="M25" s="2"/>
      <c r="N25" s="19">
        <f t="shared" si="7"/>
        <v>0</v>
      </c>
      <c r="O25" s="11"/>
      <c r="P25" s="2">
        <v>889668.77</v>
      </c>
      <c r="Q25" s="2"/>
      <c r="R25" s="19">
        <f t="shared" si="8"/>
        <v>0.63565482715551291</v>
      </c>
      <c r="S25" s="2"/>
      <c r="T25" s="2"/>
      <c r="U25" s="2"/>
      <c r="V25" s="19">
        <f t="shared" si="9"/>
        <v>0</v>
      </c>
      <c r="W25" s="2"/>
      <c r="X25" s="2">
        <f t="shared" si="10"/>
        <v>889668.77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>
        <v>821.7</v>
      </c>
      <c r="E26" s="2"/>
      <c r="F26" s="19">
        <f t="shared" si="4"/>
        <v>1.7128484688798136E-2</v>
      </c>
      <c r="G26" s="2"/>
      <c r="H26" s="2"/>
      <c r="I26" s="2"/>
      <c r="J26" s="19">
        <f t="shared" si="5"/>
        <v>0</v>
      </c>
      <c r="K26" s="2"/>
      <c r="L26" s="2">
        <f t="shared" si="6"/>
        <v>821.7</v>
      </c>
      <c r="M26" s="2"/>
      <c r="N26" s="19">
        <f t="shared" si="7"/>
        <v>0</v>
      </c>
      <c r="O26" s="11"/>
      <c r="P26" s="2">
        <v>37341.68</v>
      </c>
      <c r="Q26" s="2"/>
      <c r="R26" s="19">
        <f t="shared" si="8"/>
        <v>2.668006335222543E-2</v>
      </c>
      <c r="S26" s="2"/>
      <c r="T26" s="2"/>
      <c r="U26" s="2"/>
      <c r="V26" s="19">
        <f t="shared" si="9"/>
        <v>0</v>
      </c>
      <c r="W26" s="2"/>
      <c r="X26" s="2">
        <f t="shared" si="10"/>
        <v>37341.68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"5501", " - ", "FREIGHT-IN-NEW TEXT")</f>
        <v xml:space="preserve">          5501 - FREIGHT-IN-NEW TEXT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"5502", " - ", "FREIGHT-IN-USED TEXT")</f>
        <v xml:space="preserve">          5502 - FREIGHT-IN-USED TEXT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"5518", " - ", "FREIGHT-IN-STUDY GUIDES")</f>
        <v xml:space="preserve">          5518 - FREIGHT-IN-STUDY GUIDES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0">
        <f>D12-D19</f>
        <v>9373.6199999999953</v>
      </c>
      <c r="E31" s="13"/>
      <c r="F31" s="22">
        <f>IF(D$12=0,0,D31/D$12)</f>
        <v>0.19539479937764623</v>
      </c>
      <c r="G31" s="13"/>
      <c r="H31" s="20">
        <f>H12-H19</f>
        <v>18298</v>
      </c>
      <c r="I31" s="13"/>
      <c r="J31" s="22">
        <f>IF(H$12=0,0,H31/H$12)</f>
        <v>0.27721302286121169</v>
      </c>
      <c r="K31" s="16"/>
      <c r="L31" s="20">
        <f>+D31-H31</f>
        <v>-8924.3800000000047</v>
      </c>
      <c r="M31" s="16"/>
      <c r="N31" s="22">
        <f>IF(H31=0,0,L31/H31)</f>
        <v>-0.48772434145808313</v>
      </c>
      <c r="O31" s="25"/>
      <c r="P31" s="20">
        <f>P12-P19</f>
        <v>258738.19000000018</v>
      </c>
      <c r="Q31" s="13"/>
      <c r="R31" s="22">
        <f>IF(P$12=0,0,P31/P$12)</f>
        <v>0.18486450799321683</v>
      </c>
      <c r="S31" s="13"/>
      <c r="T31" s="20">
        <f>T12-T19</f>
        <v>793731</v>
      </c>
      <c r="U31" s="13"/>
      <c r="V31" s="22">
        <f>IF(T$12=0,0,T31/T$12)</f>
        <v>0.27669157153768204</v>
      </c>
      <c r="W31" s="16"/>
      <c r="X31" s="20">
        <f>+P31-T31</f>
        <v>-534992.80999999982</v>
      </c>
      <c r="Y31" s="16"/>
      <c r="Z31" s="22">
        <f>IF(T31=0,0,X31/T31)</f>
        <v>-0.67402282385342116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1">
        <f>SUM(OSRRefD22x_0)</f>
        <v>46608.87000000001</v>
      </c>
      <c r="E33" s="21"/>
      <c r="F33" s="32">
        <f t="shared" ref="F33:F44" si="12">IF(D$12=0,0,D33/D$12)</f>
        <v>0.97157030078761464</v>
      </c>
      <c r="G33" s="21"/>
      <c r="H33" s="21">
        <f>SUM(OSRRefH22x_0)</f>
        <v>51723.292318989712</v>
      </c>
      <c r="I33" s="21"/>
      <c r="J33" s="32">
        <f t="shared" ref="J33:J44" si="13">IF(H$12=0,0,H33/H$12)</f>
        <v>0.78360313783371027</v>
      </c>
      <c r="K33" s="4"/>
      <c r="L33" s="21">
        <f t="shared" ref="L33:L44" si="14">+D33-H33</f>
        <v>-5114.422318989702</v>
      </c>
      <c r="M33" s="4"/>
      <c r="N33" s="32">
        <f t="shared" ref="N33:N44" si="15">IF(H33=0,0,L33/H33)</f>
        <v>-9.8880448047426225E-2</v>
      </c>
      <c r="O33" s="10"/>
      <c r="P33" s="21">
        <f>SUM(OSRRefP22x_0)</f>
        <v>279517.98</v>
      </c>
      <c r="Q33" s="21"/>
      <c r="R33" s="32">
        <f t="shared" ref="R33:R44" si="16">IF(P$12=0,0,P33/P$12)</f>
        <v>0.1997113524213715</v>
      </c>
      <c r="S33" s="21"/>
      <c r="T33" s="21">
        <f>SUM(OSRRefT22x_0)</f>
        <v>323008.49755343347</v>
      </c>
      <c r="U33" s="21"/>
      <c r="V33" s="32">
        <f t="shared" ref="V33:V44" si="17">IF(T$12=0,0,T33/T$12)</f>
        <v>0.11259951899079793</v>
      </c>
      <c r="W33" s="4"/>
      <c r="X33" s="21">
        <f t="shared" ref="X33:X44" si="18">+P33-T33</f>
        <v>-43490.517553433485</v>
      </c>
      <c r="Y33" s="4"/>
      <c r="Z33" s="32">
        <f t="shared" ref="Z33:Z44" si="19">IF(T33=0,0,X33/T33)</f>
        <v>-0.13464202298962458</v>
      </c>
    </row>
    <row r="34" spans="1:26" s="28" customFormat="1" outlineLevel="1" collapsed="1" x14ac:dyDescent="0.3">
      <c r="A34" s="27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12486.67</v>
      </c>
      <c r="E34" s="1"/>
      <c r="F34" s="5">
        <f t="shared" si="12"/>
        <v>0.26028688804804068</v>
      </c>
      <c r="G34" s="1"/>
      <c r="H34" s="1">
        <f>SUM(OSRRefH22_0x_0)</f>
        <v>13603.008773735914</v>
      </c>
      <c r="I34" s="1"/>
      <c r="J34" s="5">
        <f t="shared" si="13"/>
        <v>0.20608433611186561</v>
      </c>
      <c r="K34" s="1"/>
      <c r="L34" s="1">
        <f t="shared" si="14"/>
        <v>-1116.3387737359135</v>
      </c>
      <c r="M34" s="1"/>
      <c r="N34" s="5">
        <f t="shared" si="15"/>
        <v>-8.2065577719194815E-2</v>
      </c>
      <c r="O34" s="14"/>
      <c r="P34" s="1">
        <f>SUM(OSRRefP22_0x_0)</f>
        <v>76965.06</v>
      </c>
      <c r="Q34" s="1"/>
      <c r="R34" s="5">
        <f t="shared" si="16"/>
        <v>5.4990366708402814E-2</v>
      </c>
      <c r="S34" s="1"/>
      <c r="T34" s="1">
        <f>SUM(OSRRefT22_0x_0)</f>
        <v>87579.654509283486</v>
      </c>
      <c r="U34" s="1"/>
      <c r="V34" s="5">
        <f t="shared" si="17"/>
        <v>3.0529930468761946E-2</v>
      </c>
      <c r="W34" s="1"/>
      <c r="X34" s="1">
        <f t="shared" si="18"/>
        <v>-10614.594509283488</v>
      </c>
      <c r="Y34" s="1"/>
      <c r="Z34" s="5">
        <f t="shared" si="19"/>
        <v>-0.12119931927978017</v>
      </c>
    </row>
    <row r="35" spans="1:26" s="24" customFormat="1" hidden="1" outlineLevel="2" x14ac:dyDescent="0.3">
      <c r="A35" s="29"/>
      <c r="B35" s="11" t="str">
        <f>CONCATENATE("          ", "6111", " - ", "F.I.C.A.")</f>
        <v xml:space="preserve">          6111 - F.I.C.A.</v>
      </c>
      <c r="C35" s="11"/>
      <c r="D35" s="6">
        <v>1933.15</v>
      </c>
      <c r="E35" s="2"/>
      <c r="F35" s="7">
        <f t="shared" si="12"/>
        <v>4.0296860382317293E-2</v>
      </c>
      <c r="G35" s="2"/>
      <c r="H35" s="6">
        <v>1993.53858197977</v>
      </c>
      <c r="I35" s="2"/>
      <c r="J35" s="7">
        <f t="shared" si="13"/>
        <v>3.0201926795336405E-2</v>
      </c>
      <c r="K35" s="2"/>
      <c r="L35" s="6">
        <f t="shared" si="14"/>
        <v>-60.388581979769924</v>
      </c>
      <c r="M35" s="2"/>
      <c r="N35" s="7">
        <f t="shared" si="15"/>
        <v>-3.0292156131635245E-2</v>
      </c>
      <c r="O35" s="11"/>
      <c r="P35" s="6">
        <v>12880.29</v>
      </c>
      <c r="Q35" s="2"/>
      <c r="R35" s="7">
        <f t="shared" si="16"/>
        <v>9.2027716266390724E-3</v>
      </c>
      <c r="S35" s="2"/>
      <c r="T35" s="6">
        <v>13840.850862868499</v>
      </c>
      <c r="U35" s="2"/>
      <c r="V35" s="7">
        <f t="shared" si="17"/>
        <v>4.8248673375057387E-3</v>
      </c>
      <c r="W35" s="2"/>
      <c r="X35" s="6">
        <f t="shared" si="18"/>
        <v>-960.56086286849859</v>
      </c>
      <c r="Y35" s="2"/>
      <c r="Z35" s="7">
        <f t="shared" si="19"/>
        <v>-6.9400419987577525E-2</v>
      </c>
    </row>
    <row r="36" spans="1:26" s="24" customFormat="1" hidden="1" outlineLevel="2" x14ac:dyDescent="0.3">
      <c r="A36" s="29"/>
      <c r="B36" s="11" t="str">
        <f>CONCATENATE("          ", "6112", " - ", "COMPENSATION INSURANCE")</f>
        <v xml:space="preserve">          6112 - COMPENSATION INSURANCE</v>
      </c>
      <c r="C36" s="11"/>
      <c r="D36" s="6">
        <v>354.74</v>
      </c>
      <c r="E36" s="2"/>
      <c r="F36" s="7">
        <f t="shared" si="12"/>
        <v>7.3946192752881229E-3</v>
      </c>
      <c r="G36" s="2"/>
      <c r="H36" s="6">
        <v>484.08535547999998</v>
      </c>
      <c r="I36" s="2"/>
      <c r="J36" s="7">
        <f t="shared" si="13"/>
        <v>7.3338487657369673E-3</v>
      </c>
      <c r="K36" s="2"/>
      <c r="L36" s="6">
        <f t="shared" si="14"/>
        <v>-129.34535547999997</v>
      </c>
      <c r="M36" s="2"/>
      <c r="N36" s="7">
        <f t="shared" si="15"/>
        <v>-0.26719534895193475</v>
      </c>
      <c r="O36" s="11"/>
      <c r="P36" s="6">
        <v>2548.7199999999998</v>
      </c>
      <c r="Q36" s="2"/>
      <c r="R36" s="7">
        <f t="shared" si="16"/>
        <v>1.8210217394365757E-3</v>
      </c>
      <c r="S36" s="2"/>
      <c r="T36" s="6">
        <v>3423.6420106199998</v>
      </c>
      <c r="U36" s="2"/>
      <c r="V36" s="7">
        <f t="shared" si="17"/>
        <v>1.1934684273398383E-3</v>
      </c>
      <c r="W36" s="2"/>
      <c r="X36" s="6">
        <f t="shared" si="18"/>
        <v>-874.92201062000004</v>
      </c>
      <c r="Y36" s="2"/>
      <c r="Z36" s="7">
        <f t="shared" si="19"/>
        <v>-0.2555530069750363</v>
      </c>
    </row>
    <row r="37" spans="1:26" s="24" customFormat="1" hidden="1" outlineLevel="2" x14ac:dyDescent="0.3">
      <c r="A37" s="29"/>
      <c r="B37" s="11" t="str">
        <f>CONCATENATE("          ", "6113", " - ", "GROUP INSURANCE")</f>
        <v xml:space="preserve">          6113 - GROUP INSURANCE</v>
      </c>
      <c r="C37" s="11"/>
      <c r="D37" s="6">
        <v>4593.8599999999997</v>
      </c>
      <c r="E37" s="2"/>
      <c r="F37" s="7">
        <f t="shared" si="12"/>
        <v>9.5759840175833277E-2</v>
      </c>
      <c r="G37" s="2"/>
      <c r="H37" s="6">
        <v>5314</v>
      </c>
      <c r="I37" s="2"/>
      <c r="J37" s="7">
        <f t="shared" si="13"/>
        <v>8.0506612934991742E-2</v>
      </c>
      <c r="K37" s="2"/>
      <c r="L37" s="6">
        <f t="shared" si="14"/>
        <v>-720.14000000000033</v>
      </c>
      <c r="M37" s="2"/>
      <c r="N37" s="7">
        <f t="shared" si="15"/>
        <v>-0.13551750094091086</v>
      </c>
      <c r="O37" s="11"/>
      <c r="P37" s="6">
        <v>27619.41</v>
      </c>
      <c r="Q37" s="2"/>
      <c r="R37" s="7">
        <f t="shared" si="16"/>
        <v>1.9733649063220737E-2</v>
      </c>
      <c r="S37" s="2"/>
      <c r="T37" s="6">
        <v>32496</v>
      </c>
      <c r="U37" s="2"/>
      <c r="V37" s="7">
        <f t="shared" si="17"/>
        <v>1.132798052323585E-2</v>
      </c>
      <c r="W37" s="2"/>
      <c r="X37" s="6">
        <f t="shared" si="18"/>
        <v>-4876.59</v>
      </c>
      <c r="Y37" s="2"/>
      <c r="Z37" s="7">
        <f t="shared" si="19"/>
        <v>-0.1500673929098966</v>
      </c>
    </row>
    <row r="38" spans="1:26" s="24" customFormat="1" hidden="1" outlineLevel="2" x14ac:dyDescent="0.3">
      <c r="A38" s="29"/>
      <c r="B38" s="11" t="str">
        <f>CONCATENATE("          ", "6114", " - ", "STATE UNEMPLOYMENT INSURANCE")</f>
        <v xml:space="preserve">          6114 - STATE UNEMPLOYMENT INSURANCE</v>
      </c>
      <c r="C38" s="11"/>
      <c r="D38" s="6">
        <v>70.459999999999994</v>
      </c>
      <c r="E38" s="2"/>
      <c r="F38" s="7">
        <f t="shared" si="12"/>
        <v>1.4687514070496734E-3</v>
      </c>
      <c r="G38" s="2"/>
      <c r="H38" s="6">
        <v>65.165336314615402</v>
      </c>
      <c r="I38" s="2"/>
      <c r="J38" s="7">
        <f t="shared" si="13"/>
        <v>9.872488723107458E-4</v>
      </c>
      <c r="K38" s="2"/>
      <c r="L38" s="6">
        <f t="shared" si="14"/>
        <v>5.2946636853845916</v>
      </c>
      <c r="M38" s="2"/>
      <c r="N38" s="7">
        <f t="shared" si="15"/>
        <v>8.1249694773647546E-2</v>
      </c>
      <c r="O38" s="11"/>
      <c r="P38" s="6">
        <v>505.55</v>
      </c>
      <c r="Q38" s="2"/>
      <c r="R38" s="7">
        <f t="shared" si="16"/>
        <v>3.6120779857032586E-4</v>
      </c>
      <c r="S38" s="2"/>
      <c r="T38" s="6">
        <v>460.87488604499998</v>
      </c>
      <c r="U38" s="2"/>
      <c r="V38" s="7">
        <f t="shared" si="17"/>
        <v>1.6065921137267054E-4</v>
      </c>
      <c r="W38" s="2"/>
      <c r="X38" s="6">
        <f t="shared" si="18"/>
        <v>44.675113955000029</v>
      </c>
      <c r="Y38" s="2"/>
      <c r="Z38" s="7">
        <f t="shared" si="19"/>
        <v>9.6935448877199043E-2</v>
      </c>
    </row>
    <row r="39" spans="1:26" s="24" customFormat="1" hidden="1" outlineLevel="2" x14ac:dyDescent="0.3">
      <c r="A39" s="29"/>
      <c r="B39" s="11" t="str">
        <f>CONCATENATE("          ", "6115", " - ", "P.E.R.S.")</f>
        <v xml:space="preserve">          6115 - P.E.R.S.</v>
      </c>
      <c r="C39" s="11"/>
      <c r="D39" s="6">
        <v>1671.39</v>
      </c>
      <c r="E39" s="2"/>
      <c r="F39" s="7">
        <f t="shared" si="12"/>
        <v>3.4840425975429377E-2</v>
      </c>
      <c r="G39" s="2"/>
      <c r="H39" s="6">
        <v>1664.68278164615</v>
      </c>
      <c r="I39" s="2"/>
      <c r="J39" s="7">
        <f t="shared" si="13"/>
        <v>2.5219791562200222E-2</v>
      </c>
      <c r="K39" s="2"/>
      <c r="L39" s="6">
        <f t="shared" si="14"/>
        <v>6.7072183538500667</v>
      </c>
      <c r="M39" s="2"/>
      <c r="N39" s="7">
        <f t="shared" si="15"/>
        <v>4.0291270071391733E-3</v>
      </c>
      <c r="O39" s="11"/>
      <c r="P39" s="6">
        <v>10574.73</v>
      </c>
      <c r="Q39" s="2"/>
      <c r="R39" s="7">
        <f t="shared" si="16"/>
        <v>7.5554840149848323E-3</v>
      </c>
      <c r="S39" s="2"/>
      <c r="T39" s="6">
        <v>10820.4380807</v>
      </c>
      <c r="U39" s="2"/>
      <c r="V39" s="7">
        <f t="shared" si="17"/>
        <v>3.7719630671790099E-3</v>
      </c>
      <c r="W39" s="2"/>
      <c r="X39" s="6">
        <f t="shared" si="18"/>
        <v>-245.70808070000021</v>
      </c>
      <c r="Y39" s="2"/>
      <c r="Z39" s="7">
        <f t="shared" si="19"/>
        <v>-2.2707775680382136E-2</v>
      </c>
    </row>
    <row r="40" spans="1:26" s="24" customFormat="1" hidden="1" outlineLevel="2" x14ac:dyDescent="0.3">
      <c r="A40" s="29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"6117", " - ", "RETIREMENT STAFF HOURLY")</f>
        <v xml:space="preserve">          6117 - RETIREMENT STAFF HOURLY</v>
      </c>
      <c r="C41" s="11"/>
      <c r="D41" s="6">
        <v>285.08999999999997</v>
      </c>
      <c r="E41" s="2"/>
      <c r="F41" s="7">
        <f t="shared" si="12"/>
        <v>5.9427524643172209E-3</v>
      </c>
      <c r="G41" s="2"/>
      <c r="H41" s="6"/>
      <c r="I41" s="2"/>
      <c r="J41" s="7">
        <f t="shared" si="13"/>
        <v>0</v>
      </c>
      <c r="K41" s="2"/>
      <c r="L41" s="6">
        <f t="shared" si="14"/>
        <v>285.08999999999997</v>
      </c>
      <c r="M41" s="2"/>
      <c r="N41" s="7">
        <f t="shared" si="15"/>
        <v>0</v>
      </c>
      <c r="O41" s="11"/>
      <c r="P41" s="6">
        <v>1807.95</v>
      </c>
      <c r="Q41" s="2"/>
      <c r="R41" s="7">
        <f t="shared" si="16"/>
        <v>1.2917528225204642E-3</v>
      </c>
      <c r="S41" s="2"/>
      <c r="T41" s="6"/>
      <c r="U41" s="2"/>
      <c r="V41" s="7">
        <f t="shared" si="17"/>
        <v>0</v>
      </c>
      <c r="W41" s="2"/>
      <c r="X41" s="6">
        <f t="shared" si="18"/>
        <v>1807.95</v>
      </c>
      <c r="Y41" s="2"/>
      <c r="Z41" s="7">
        <f t="shared" si="19"/>
        <v>0</v>
      </c>
    </row>
    <row r="42" spans="1:26" s="24" customFormat="1" hidden="1" outlineLevel="2" x14ac:dyDescent="0.3">
      <c r="A42" s="29"/>
      <c r="B42" s="11" t="str">
        <f>CONCATENATE("          ", "6118", " - ", "VACATION")</f>
        <v xml:space="preserve">          6118 - VACATION</v>
      </c>
      <c r="C42" s="11"/>
      <c r="D42" s="6">
        <v>1532.44</v>
      </c>
      <c r="E42" s="2"/>
      <c r="F42" s="7">
        <f t="shared" si="12"/>
        <v>3.1943988166608026E-2</v>
      </c>
      <c r="G42" s="2"/>
      <c r="H42" s="6">
        <v>1689.1935418999999</v>
      </c>
      <c r="I42" s="2"/>
      <c r="J42" s="7">
        <f t="shared" si="13"/>
        <v>2.5591127333464633E-2</v>
      </c>
      <c r="K42" s="2"/>
      <c r="L42" s="6">
        <f t="shared" si="14"/>
        <v>-156.75354189999985</v>
      </c>
      <c r="M42" s="2"/>
      <c r="N42" s="7">
        <f t="shared" si="15"/>
        <v>-9.2797857682834814E-2</v>
      </c>
      <c r="O42" s="11"/>
      <c r="P42" s="6">
        <v>9233.68</v>
      </c>
      <c r="Q42" s="2"/>
      <c r="R42" s="7">
        <f t="shared" si="16"/>
        <v>6.5973241529084098E-3</v>
      </c>
      <c r="S42" s="2"/>
      <c r="T42" s="6">
        <v>10979.758022350001</v>
      </c>
      <c r="U42" s="2"/>
      <c r="V42" s="7">
        <f t="shared" si="17"/>
        <v>3.8275013856174113E-3</v>
      </c>
      <c r="W42" s="2"/>
      <c r="X42" s="6">
        <f t="shared" si="18"/>
        <v>-1746.0780223500005</v>
      </c>
      <c r="Y42" s="2"/>
      <c r="Z42" s="7">
        <f t="shared" si="19"/>
        <v>-0.15902700394632985</v>
      </c>
    </row>
    <row r="43" spans="1:26" s="24" customFormat="1" hidden="1" outlineLevel="2" x14ac:dyDescent="0.3">
      <c r="A43" s="29"/>
      <c r="B43" s="11" t="str">
        <f>CONCATENATE("          ", "6119", " - ", "SICK LEAVE")</f>
        <v xml:space="preserve">          6119 - SICK LEAVE</v>
      </c>
      <c r="C43" s="11"/>
      <c r="D43" s="6">
        <v>1114.74</v>
      </c>
      <c r="E43" s="2"/>
      <c r="F43" s="7">
        <f t="shared" si="12"/>
        <v>2.3236956336851446E-2</v>
      </c>
      <c r="G43" s="2"/>
      <c r="H43" s="6">
        <v>1342.34317641538</v>
      </c>
      <c r="I43" s="2"/>
      <c r="J43" s="7">
        <f t="shared" si="13"/>
        <v>2.0336376087617677E-2</v>
      </c>
      <c r="K43" s="2"/>
      <c r="L43" s="6">
        <f t="shared" si="14"/>
        <v>-227.60317641537995</v>
      </c>
      <c r="M43" s="2"/>
      <c r="N43" s="7">
        <f t="shared" si="15"/>
        <v>-0.16955662338387714</v>
      </c>
      <c r="O43" s="11"/>
      <c r="P43" s="6">
        <v>7053.02</v>
      </c>
      <c r="Q43" s="2"/>
      <c r="R43" s="7">
        <f t="shared" si="16"/>
        <v>5.0392756947334185E-3</v>
      </c>
      <c r="S43" s="2"/>
      <c r="T43" s="6">
        <v>9258.0906466999804</v>
      </c>
      <c r="U43" s="2"/>
      <c r="V43" s="7">
        <f t="shared" si="17"/>
        <v>3.2273347651455373E-3</v>
      </c>
      <c r="W43" s="2"/>
      <c r="X43" s="6">
        <f t="shared" si="18"/>
        <v>-2205.07064669998</v>
      </c>
      <c r="Y43" s="2"/>
      <c r="Z43" s="7">
        <f t="shared" si="19"/>
        <v>-0.23817769028714048</v>
      </c>
    </row>
    <row r="44" spans="1:26" s="24" customFormat="1" hidden="1" outlineLevel="2" x14ac:dyDescent="0.3">
      <c r="A44" s="29"/>
      <c r="B44" s="11" t="str">
        <f>CONCATENATE("          ", "6156", " - ", "EMPLOYEE MEALS")</f>
        <v xml:space="preserve">          6156 - EMPLOYEE MEALS</v>
      </c>
      <c r="C44" s="11"/>
      <c r="D44" s="6">
        <v>930.8</v>
      </c>
      <c r="E44" s="2"/>
      <c r="F44" s="7">
        <f t="shared" si="12"/>
        <v>1.9402693864346239E-2</v>
      </c>
      <c r="G44" s="2"/>
      <c r="H44" s="6">
        <v>1050</v>
      </c>
      <c r="I44" s="2"/>
      <c r="J44" s="7">
        <f t="shared" si="13"/>
        <v>1.5907403760207252E-2</v>
      </c>
      <c r="K44" s="2"/>
      <c r="L44" s="6">
        <f t="shared" si="14"/>
        <v>-119.20000000000005</v>
      </c>
      <c r="M44" s="2"/>
      <c r="N44" s="7">
        <f t="shared" si="15"/>
        <v>-0.11352380952380957</v>
      </c>
      <c r="O44" s="11"/>
      <c r="P44" s="6">
        <v>4741.71</v>
      </c>
      <c r="Q44" s="2"/>
      <c r="R44" s="7">
        <f t="shared" si="16"/>
        <v>3.387879795388982E-3</v>
      </c>
      <c r="S44" s="2"/>
      <c r="T44" s="6">
        <v>6300</v>
      </c>
      <c r="U44" s="2"/>
      <c r="V44" s="7">
        <f t="shared" si="17"/>
        <v>2.196155751365887E-3</v>
      </c>
      <c r="W44" s="2"/>
      <c r="X44" s="6">
        <f t="shared" si="18"/>
        <v>-1558.29</v>
      </c>
      <c r="Y44" s="2"/>
      <c r="Z44" s="7">
        <f t="shared" si="19"/>
        <v>-0.24734761904761904</v>
      </c>
    </row>
    <row r="45" spans="1:26" s="28" customFormat="1" outlineLevel="1" collapsed="1" x14ac:dyDescent="0.3">
      <c r="A45" s="27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25995.670000000002</v>
      </c>
      <c r="E45" s="1"/>
      <c r="F45" s="5">
        <f t="shared" ref="F45:F55" si="20">IF(D$12=0,0,D45/D$12)</f>
        <v>0.54188442931732883</v>
      </c>
      <c r="G45" s="1"/>
      <c r="H45" s="1">
        <f>SUM(OSRRefH22_1x_0)</f>
        <v>28540.283545253802</v>
      </c>
      <c r="I45" s="1"/>
      <c r="J45" s="5">
        <f t="shared" ref="J45:J55" si="21">IF(H$12=0,0,H45/H$12)</f>
        <v>0.43238267979538236</v>
      </c>
      <c r="K45" s="1"/>
      <c r="L45" s="1">
        <f t="shared" ref="L45:L55" si="22">+D45-H45</f>
        <v>-2544.6135452538001</v>
      </c>
      <c r="M45" s="1"/>
      <c r="N45" s="5">
        <f t="shared" ref="N45:N55" si="23">IF(H45=0,0,L45/H45)</f>
        <v>-8.9158663796000195E-2</v>
      </c>
      <c r="O45" s="14"/>
      <c r="P45" s="1">
        <f>SUM(OSRRefP22_1x_0)</f>
        <v>175181.91</v>
      </c>
      <c r="Q45" s="1"/>
      <c r="R45" s="5">
        <f t="shared" ref="R45:R55" si="24">IF(P$12=0,0,P45/P$12)</f>
        <v>0.1251648146779645</v>
      </c>
      <c r="S45" s="1"/>
      <c r="T45" s="1">
        <f>SUM(OSRRefT22_1x_0)</f>
        <v>203273.84304414998</v>
      </c>
      <c r="U45" s="1"/>
      <c r="V45" s="5">
        <f t="shared" ref="V45:V55" si="25">IF(T$12=0,0,T45/T$12)</f>
        <v>7.0860479286294686E-2</v>
      </c>
      <c r="W45" s="1"/>
      <c r="X45" s="1">
        <f t="shared" ref="X45:X55" si="26">+P45-T45</f>
        <v>-28091.933044149977</v>
      </c>
      <c r="Y45" s="1"/>
      <c r="Z45" s="5">
        <f t="shared" ref="Z45:Z55" si="27">IF(T45=0,0,X45/T45)</f>
        <v>-0.13819748091272402</v>
      </c>
    </row>
    <row r="46" spans="1:26" s="24" customFormat="1" hidden="1" outlineLevel="2" x14ac:dyDescent="0.3">
      <c r="A46" s="29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"6002", " - ", "STAFF SALARIES")</f>
        <v xml:space="preserve">          6002 - STAFF SALARIES</v>
      </c>
      <c r="C47" s="11"/>
      <c r="D47" s="6">
        <v>16929.34</v>
      </c>
      <c r="E47" s="2"/>
      <c r="F47" s="7">
        <f t="shared" si="20"/>
        <v>0.35289514540764005</v>
      </c>
      <c r="G47" s="2"/>
      <c r="H47" s="6">
        <v>17293.700777253802</v>
      </c>
      <c r="I47" s="2"/>
      <c r="J47" s="7">
        <f t="shared" si="21"/>
        <v>0.26199798168760591</v>
      </c>
      <c r="K47" s="2"/>
      <c r="L47" s="6">
        <f t="shared" si="22"/>
        <v>-364.36077725380164</v>
      </c>
      <c r="M47" s="2"/>
      <c r="N47" s="7">
        <f t="shared" si="23"/>
        <v>-2.1068988179386162E-2</v>
      </c>
      <c r="O47" s="11"/>
      <c r="P47" s="6">
        <v>102208.5</v>
      </c>
      <c r="Q47" s="2"/>
      <c r="R47" s="7">
        <f t="shared" si="24"/>
        <v>7.3026421284096824E-2</v>
      </c>
      <c r="S47" s="2"/>
      <c r="T47" s="6">
        <v>112409.05505215</v>
      </c>
      <c r="U47" s="2"/>
      <c r="V47" s="7">
        <f t="shared" si="25"/>
        <v>3.9185363929902191E-2</v>
      </c>
      <c r="W47" s="2"/>
      <c r="X47" s="6">
        <f t="shared" si="26"/>
        <v>-10200.555052149997</v>
      </c>
      <c r="Y47" s="2"/>
      <c r="Z47" s="7">
        <f t="shared" si="27"/>
        <v>-9.0744958646059679E-2</v>
      </c>
    </row>
    <row r="48" spans="1:26" s="24" customFormat="1" hidden="1" outlineLevel="2" x14ac:dyDescent="0.3">
      <c r="A48" s="29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9"/>
      <c r="B49" s="11" t="str">
        <f>CONCATENATE("          ", "6004", " - ", "STAFF HOURLY")</f>
        <v xml:space="preserve">          6004 - STAFF HOURLY</v>
      </c>
      <c r="C49" s="11"/>
      <c r="D49" s="6">
        <v>5854.93</v>
      </c>
      <c r="E49" s="2"/>
      <c r="F49" s="7">
        <f t="shared" si="20"/>
        <v>0.122047071752446</v>
      </c>
      <c r="G49" s="2"/>
      <c r="H49" s="6">
        <v>5928.5827680000002</v>
      </c>
      <c r="I49" s="2"/>
      <c r="J49" s="7">
        <f t="shared" si="21"/>
        <v>8.9817485539412489E-2</v>
      </c>
      <c r="K49" s="2"/>
      <c r="L49" s="6">
        <f t="shared" si="22"/>
        <v>-73.652767999999924</v>
      </c>
      <c r="M49" s="2"/>
      <c r="N49" s="7">
        <f t="shared" si="23"/>
        <v>-1.2423334696033364E-2</v>
      </c>
      <c r="O49" s="11"/>
      <c r="P49" s="6">
        <v>35563.129999999997</v>
      </c>
      <c r="Q49" s="2"/>
      <c r="R49" s="7">
        <f t="shared" si="24"/>
        <v>2.5409316383286147E-2</v>
      </c>
      <c r="S49" s="2"/>
      <c r="T49" s="6">
        <v>38535.787991999998</v>
      </c>
      <c r="U49" s="2"/>
      <c r="V49" s="7">
        <f t="shared" si="25"/>
        <v>1.3433427370166234E-2</v>
      </c>
      <c r="W49" s="2"/>
      <c r="X49" s="6">
        <f t="shared" si="26"/>
        <v>-2972.6579920000004</v>
      </c>
      <c r="Y49" s="2"/>
      <c r="Z49" s="7">
        <f t="shared" si="27"/>
        <v>-7.7140189597709075E-2</v>
      </c>
    </row>
    <row r="50" spans="1:26" s="24" customFormat="1" hidden="1" outlineLevel="2" x14ac:dyDescent="0.3">
      <c r="A50" s="29"/>
      <c r="B50" s="11" t="str">
        <f>CONCATENATE("          ", "6005", " - ", "TEMPORARY WAGES-HOURLY")</f>
        <v xml:space="preserve">          6005 - TEMPORARY WAGES-HOURLY</v>
      </c>
      <c r="C50" s="11"/>
      <c r="D50" s="6">
        <v>2090.66</v>
      </c>
      <c r="E50" s="2"/>
      <c r="F50" s="7">
        <f t="shared" si="20"/>
        <v>4.3580184738326283E-2</v>
      </c>
      <c r="G50" s="2"/>
      <c r="H50" s="6">
        <v>4198</v>
      </c>
      <c r="I50" s="2"/>
      <c r="J50" s="7">
        <f t="shared" si="21"/>
        <v>6.3599315224142888E-2</v>
      </c>
      <c r="K50" s="2"/>
      <c r="L50" s="6">
        <f t="shared" si="22"/>
        <v>-2107.34</v>
      </c>
      <c r="M50" s="2"/>
      <c r="N50" s="7">
        <f t="shared" si="23"/>
        <v>-0.50198666031443551</v>
      </c>
      <c r="O50" s="11"/>
      <c r="P50" s="6">
        <v>14698.31</v>
      </c>
      <c r="Q50" s="2"/>
      <c r="R50" s="7">
        <f t="shared" si="24"/>
        <v>1.0501719311253498E-2</v>
      </c>
      <c r="S50" s="2"/>
      <c r="T50" s="6">
        <v>22369</v>
      </c>
      <c r="U50" s="2"/>
      <c r="V50" s="7">
        <f t="shared" si="25"/>
        <v>7.7977473019529399E-3</v>
      </c>
      <c r="W50" s="2"/>
      <c r="X50" s="6">
        <f t="shared" si="26"/>
        <v>-7670.6900000000005</v>
      </c>
      <c r="Y50" s="2"/>
      <c r="Z50" s="7">
        <f t="shared" si="27"/>
        <v>-0.34291608923063172</v>
      </c>
    </row>
    <row r="51" spans="1:26" s="24" customFormat="1" hidden="1" outlineLevel="2" x14ac:dyDescent="0.3">
      <c r="A51" s="29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9"/>
      <c r="B52" s="11" t="str">
        <f>CONCATENATE("          ", "6007", " - ", "STUDENT HOURLY")</f>
        <v xml:space="preserve">          6007 - STUDENT HOURLY</v>
      </c>
      <c r="C52" s="11"/>
      <c r="D52" s="6">
        <v>1120.74</v>
      </c>
      <c r="E52" s="2"/>
      <c r="F52" s="7">
        <f t="shared" si="20"/>
        <v>2.3362027418916419E-2</v>
      </c>
      <c r="G52" s="2"/>
      <c r="H52" s="6">
        <v>336</v>
      </c>
      <c r="I52" s="2"/>
      <c r="J52" s="7">
        <f t="shared" si="21"/>
        <v>5.0903692032663204E-3</v>
      </c>
      <c r="K52" s="2"/>
      <c r="L52" s="6">
        <f t="shared" si="22"/>
        <v>784.74</v>
      </c>
      <c r="M52" s="2"/>
      <c r="N52" s="7">
        <f t="shared" si="23"/>
        <v>2.3355357142857143</v>
      </c>
      <c r="O52" s="11"/>
      <c r="P52" s="6">
        <v>18745.490000000002</v>
      </c>
      <c r="Q52" s="2"/>
      <c r="R52" s="7">
        <f t="shared" si="24"/>
        <v>1.3393367967603716E-2</v>
      </c>
      <c r="S52" s="2"/>
      <c r="T52" s="6">
        <v>13720</v>
      </c>
      <c r="U52" s="2"/>
      <c r="V52" s="7">
        <f t="shared" si="25"/>
        <v>4.7827391918634872E-3</v>
      </c>
      <c r="W52" s="2"/>
      <c r="X52" s="6">
        <f t="shared" si="26"/>
        <v>5025.4900000000016</v>
      </c>
      <c r="Y52" s="2"/>
      <c r="Z52" s="7">
        <f t="shared" si="27"/>
        <v>0.3662893586005832</v>
      </c>
    </row>
    <row r="53" spans="1:26" s="24" customFormat="1" hidden="1" outlineLevel="2" x14ac:dyDescent="0.3">
      <c r="A53" s="29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0"/>
        <v>0</v>
      </c>
      <c r="G53" s="2"/>
      <c r="H53" s="6">
        <v>784</v>
      </c>
      <c r="I53" s="2"/>
      <c r="J53" s="7">
        <f t="shared" si="21"/>
        <v>1.1877528140954748E-2</v>
      </c>
      <c r="K53" s="2"/>
      <c r="L53" s="6">
        <f t="shared" si="22"/>
        <v>-784</v>
      </c>
      <c r="M53" s="2"/>
      <c r="N53" s="7">
        <f t="shared" si="23"/>
        <v>-1</v>
      </c>
      <c r="O53" s="11"/>
      <c r="P53" s="6">
        <v>3966.48</v>
      </c>
      <c r="Q53" s="2"/>
      <c r="R53" s="7">
        <f t="shared" si="24"/>
        <v>2.8339897317243125E-3</v>
      </c>
      <c r="S53" s="2"/>
      <c r="T53" s="6">
        <v>16240</v>
      </c>
      <c r="U53" s="2"/>
      <c r="V53" s="7">
        <f t="shared" si="25"/>
        <v>5.6612014924098415E-3</v>
      </c>
      <c r="W53" s="2"/>
      <c r="X53" s="6">
        <f t="shared" si="26"/>
        <v>-12273.52</v>
      </c>
      <c r="Y53" s="2"/>
      <c r="Z53" s="7">
        <f t="shared" si="27"/>
        <v>-0.75575862068965516</v>
      </c>
    </row>
    <row r="54" spans="1:26" s="24" customFormat="1" hidden="1" outlineLevel="2" x14ac:dyDescent="0.3">
      <c r="A54" s="29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9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8" customFormat="1" outlineLevel="1" collapsed="1" x14ac:dyDescent="0.3">
      <c r="A56" s="27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563.54</v>
      </c>
      <c r="E56" s="1"/>
      <c r="F56" s="5">
        <f t="shared" ref="F56:F71" si="28">IF(D$12=0,0,D56/D$12)</f>
        <v>1.1747092931149204E-2</v>
      </c>
      <c r="G56" s="1"/>
      <c r="H56" s="1">
        <f>SUM(OSRRefH22_2x_0)</f>
        <v>200</v>
      </c>
      <c r="I56" s="1"/>
      <c r="J56" s="5">
        <f t="shared" ref="J56:J71" si="29">IF(H$12=0,0,H56/H$12)</f>
        <v>3.0299816686109051E-3</v>
      </c>
      <c r="K56" s="1"/>
      <c r="L56" s="1">
        <f t="shared" ref="L56:L71" si="30">+D56-H56</f>
        <v>363.53999999999996</v>
      </c>
      <c r="M56" s="1"/>
      <c r="N56" s="5">
        <f t="shared" ref="N56:N71" si="31">IF(H56=0,0,L56/H56)</f>
        <v>1.8176999999999999</v>
      </c>
      <c r="O56" s="14"/>
      <c r="P56" s="1">
        <f>SUM(OSRRefP22_2x_0)</f>
        <v>797.25</v>
      </c>
      <c r="Q56" s="1"/>
      <c r="R56" s="5">
        <f t="shared" ref="R56:R71" si="32">IF(P$12=0,0,P56/P$12)</f>
        <v>5.6962301930608701E-4</v>
      </c>
      <c r="S56" s="1"/>
      <c r="T56" s="1">
        <f>SUM(OSRRefT22_2x_0)</f>
        <v>2300</v>
      </c>
      <c r="U56" s="1"/>
      <c r="V56" s="5">
        <f t="shared" ref="V56:V71" si="33">IF(T$12=0,0,T56/T$12)</f>
        <v>8.0177114732405395E-4</v>
      </c>
      <c r="W56" s="1"/>
      <c r="X56" s="1">
        <f t="shared" ref="X56:X71" si="34">+P56-T56</f>
        <v>-1502.75</v>
      </c>
      <c r="Y56" s="1"/>
      <c r="Z56" s="5">
        <f t="shared" ref="Z56:Z71" si="35">IF(T56=0,0,X56/T56)</f>
        <v>-0.65336956521739131</v>
      </c>
    </row>
    <row r="57" spans="1:26" s="24" customFormat="1" hidden="1" outlineLevel="2" x14ac:dyDescent="0.3">
      <c r="A57" s="29"/>
      <c r="B57" s="11" t="str">
        <f>CONCATENATE("          ", "6362", " - ", "ADVERTISING EXPENSE")</f>
        <v xml:space="preserve">          6362 - ADVERTISING EXPENSE</v>
      </c>
      <c r="C57" s="11"/>
      <c r="D57" s="6">
        <v>563.54</v>
      </c>
      <c r="E57" s="2"/>
      <c r="F57" s="7">
        <f t="shared" si="28"/>
        <v>1.1747092931149204E-2</v>
      </c>
      <c r="G57" s="2"/>
      <c r="H57" s="6">
        <v>200</v>
      </c>
      <c r="I57" s="2"/>
      <c r="J57" s="7">
        <f t="shared" si="29"/>
        <v>3.0299816686109051E-3</v>
      </c>
      <c r="K57" s="2"/>
      <c r="L57" s="6">
        <f t="shared" si="30"/>
        <v>363.53999999999996</v>
      </c>
      <c r="M57" s="2"/>
      <c r="N57" s="7">
        <f t="shared" si="31"/>
        <v>1.8176999999999999</v>
      </c>
      <c r="O57" s="11"/>
      <c r="P57" s="6">
        <v>797.25</v>
      </c>
      <c r="Q57" s="2"/>
      <c r="R57" s="7">
        <f t="shared" si="32"/>
        <v>5.6962301930608701E-4</v>
      </c>
      <c r="S57" s="2"/>
      <c r="T57" s="6">
        <v>2300</v>
      </c>
      <c r="U57" s="2"/>
      <c r="V57" s="7">
        <f t="shared" si="33"/>
        <v>8.0177114732405395E-4</v>
      </c>
      <c r="W57" s="2"/>
      <c r="X57" s="6">
        <f t="shared" si="34"/>
        <v>-1502.75</v>
      </c>
      <c r="Y57" s="2"/>
      <c r="Z57" s="7">
        <f t="shared" si="35"/>
        <v>-0.65336956521739131</v>
      </c>
    </row>
    <row r="58" spans="1:26" s="28" customFormat="1" outlineLevel="1" collapsed="1" x14ac:dyDescent="0.3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SUM(OSRRefD22_3x_0)</f>
        <v>0</v>
      </c>
      <c r="E58" s="1"/>
      <c r="F58" s="5">
        <f t="shared" si="28"/>
        <v>0</v>
      </c>
      <c r="G58" s="1"/>
      <c r="H58" s="1">
        <f>SUM(OSRRefH22_3x_0)</f>
        <v>50</v>
      </c>
      <c r="I58" s="1"/>
      <c r="J58" s="5">
        <f t="shared" si="29"/>
        <v>7.5749541715272627E-4</v>
      </c>
      <c r="K58" s="1"/>
      <c r="L58" s="1">
        <f t="shared" si="30"/>
        <v>-50</v>
      </c>
      <c r="M58" s="1"/>
      <c r="N58" s="5">
        <f t="shared" si="31"/>
        <v>-1</v>
      </c>
      <c r="O58" s="14"/>
      <c r="P58" s="1">
        <f>SUM(OSRRefP22_3x_0)</f>
        <v>0</v>
      </c>
      <c r="Q58" s="1"/>
      <c r="R58" s="5">
        <f t="shared" si="32"/>
        <v>0</v>
      </c>
      <c r="S58" s="1"/>
      <c r="T58" s="1">
        <f>SUM(OSRRefT22_3x_0)</f>
        <v>300</v>
      </c>
      <c r="U58" s="1"/>
      <c r="V58" s="5">
        <f t="shared" si="33"/>
        <v>1.0457884530313746E-4</v>
      </c>
      <c r="W58" s="1"/>
      <c r="X58" s="1">
        <f t="shared" si="34"/>
        <v>-300</v>
      </c>
      <c r="Y58" s="1"/>
      <c r="Z58" s="5">
        <f t="shared" si="35"/>
        <v>-1</v>
      </c>
    </row>
    <row r="59" spans="1:26" s="24" customFormat="1" hidden="1" outlineLevel="2" x14ac:dyDescent="0.3">
      <c r="A59" s="29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50</v>
      </c>
      <c r="I59" s="2"/>
      <c r="J59" s="7">
        <f t="shared" si="29"/>
        <v>7.5749541715272627E-4</v>
      </c>
      <c r="K59" s="2"/>
      <c r="L59" s="6">
        <f t="shared" si="30"/>
        <v>-50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300</v>
      </c>
      <c r="U59" s="2"/>
      <c r="V59" s="7">
        <f t="shared" si="33"/>
        <v>1.0457884530313746E-4</v>
      </c>
      <c r="W59" s="2"/>
      <c r="X59" s="6">
        <f t="shared" si="34"/>
        <v>-300</v>
      </c>
      <c r="Y59" s="2"/>
      <c r="Z59" s="7">
        <f t="shared" si="35"/>
        <v>-1</v>
      </c>
    </row>
    <row r="60" spans="1:26" s="28" customFormat="1" outlineLevel="1" collapsed="1" x14ac:dyDescent="0.3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SUM(OSRRefD22_4x_0)</f>
        <v>91.26</v>
      </c>
      <c r="E60" s="1"/>
      <c r="F60" s="5">
        <f t="shared" si="28"/>
        <v>1.9023311582082487E-3</v>
      </c>
      <c r="G60" s="1"/>
      <c r="H60" s="1">
        <f>SUM(OSRRefH22_4x_0)</f>
        <v>100</v>
      </c>
      <c r="I60" s="1"/>
      <c r="J60" s="5">
        <f t="shared" si="29"/>
        <v>1.5149908343054525E-3</v>
      </c>
      <c r="K60" s="1"/>
      <c r="L60" s="1">
        <f t="shared" si="30"/>
        <v>-8.7399999999999949</v>
      </c>
      <c r="M60" s="1"/>
      <c r="N60" s="5">
        <f t="shared" si="31"/>
        <v>-8.739999999999995E-2</v>
      </c>
      <c r="O60" s="14"/>
      <c r="P60" s="1">
        <f>SUM(OSRRefP22_4x_0)</f>
        <v>547.55999999999995</v>
      </c>
      <c r="Q60" s="1"/>
      <c r="R60" s="5">
        <f t="shared" si="32"/>
        <v>3.9122330567731701E-4</v>
      </c>
      <c r="S60" s="1"/>
      <c r="T60" s="1">
        <f>SUM(OSRRefT22_4x_0)</f>
        <v>600</v>
      </c>
      <c r="U60" s="1"/>
      <c r="V60" s="5">
        <f t="shared" si="33"/>
        <v>2.0915769060627493E-4</v>
      </c>
      <c r="W60" s="1"/>
      <c r="X60" s="1">
        <f t="shared" si="34"/>
        <v>-52.440000000000055</v>
      </c>
      <c r="Y60" s="1"/>
      <c r="Z60" s="5">
        <f t="shared" si="35"/>
        <v>-8.7400000000000089E-2</v>
      </c>
    </row>
    <row r="61" spans="1:26" s="24" customFormat="1" hidden="1" outlineLevel="2" x14ac:dyDescent="0.3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91.26</v>
      </c>
      <c r="E61" s="2"/>
      <c r="F61" s="7">
        <f t="shared" si="28"/>
        <v>1.9023311582082487E-3</v>
      </c>
      <c r="G61" s="2"/>
      <c r="H61" s="6">
        <v>100</v>
      </c>
      <c r="I61" s="2"/>
      <c r="J61" s="7">
        <f t="shared" si="29"/>
        <v>1.5149908343054525E-3</v>
      </c>
      <c r="K61" s="2"/>
      <c r="L61" s="6">
        <f t="shared" si="30"/>
        <v>-8.7399999999999949</v>
      </c>
      <c r="M61" s="2"/>
      <c r="N61" s="7">
        <f t="shared" si="31"/>
        <v>-8.739999999999995E-2</v>
      </c>
      <c r="O61" s="11"/>
      <c r="P61" s="6">
        <v>547.55999999999995</v>
      </c>
      <c r="Q61" s="2"/>
      <c r="R61" s="7">
        <f t="shared" si="32"/>
        <v>3.9122330567731701E-4</v>
      </c>
      <c r="S61" s="2"/>
      <c r="T61" s="6">
        <v>600</v>
      </c>
      <c r="U61" s="2"/>
      <c r="V61" s="7">
        <f t="shared" si="33"/>
        <v>2.0915769060627493E-4</v>
      </c>
      <c r="W61" s="2"/>
      <c r="X61" s="6">
        <f t="shared" si="34"/>
        <v>-52.440000000000055</v>
      </c>
      <c r="Y61" s="2"/>
      <c r="Z61" s="7">
        <f t="shared" si="35"/>
        <v>-8.7400000000000089E-2</v>
      </c>
    </row>
    <row r="62" spans="1:26" s="28" customFormat="1" outlineLevel="1" collapsed="1" x14ac:dyDescent="0.3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1977.93</v>
      </c>
      <c r="E62" s="1"/>
      <c r="F62" s="5">
        <f t="shared" si="28"/>
        <v>4.1230307558128877E-2</v>
      </c>
      <c r="G62" s="1"/>
      <c r="H62" s="1">
        <f>SUM(OSRRefH22_5x_0)</f>
        <v>1500</v>
      </c>
      <c r="I62" s="1"/>
      <c r="J62" s="5">
        <f t="shared" si="29"/>
        <v>2.2724862514581785E-2</v>
      </c>
      <c r="K62" s="1"/>
      <c r="L62" s="1">
        <f t="shared" si="30"/>
        <v>477.93000000000006</v>
      </c>
      <c r="M62" s="1"/>
      <c r="N62" s="5">
        <f t="shared" si="31"/>
        <v>0.31862000000000007</v>
      </c>
      <c r="O62" s="14"/>
      <c r="P62" s="1">
        <f>SUM(OSRRefP22_5x_0)</f>
        <v>4490.78</v>
      </c>
      <c r="Q62" s="1"/>
      <c r="R62" s="5">
        <f t="shared" si="32"/>
        <v>3.2085941205887603E-3</v>
      </c>
      <c r="S62" s="1"/>
      <c r="T62" s="1">
        <f>SUM(OSRRefT22_5x_0)</f>
        <v>7900</v>
      </c>
      <c r="U62" s="1"/>
      <c r="V62" s="5">
        <f t="shared" si="33"/>
        <v>2.7539095929826202E-3</v>
      </c>
      <c r="W62" s="1"/>
      <c r="X62" s="1">
        <f t="shared" si="34"/>
        <v>-3409.2200000000003</v>
      </c>
      <c r="Y62" s="1"/>
      <c r="Z62" s="5">
        <f t="shared" si="35"/>
        <v>-0.43154683544303801</v>
      </c>
    </row>
    <row r="63" spans="1:26" s="24" customFormat="1" hidden="1" outlineLevel="2" x14ac:dyDescent="0.3">
      <c r="A63" s="29"/>
      <c r="B63" s="11" t="str">
        <f>CONCATENATE("          ", "6305", " - ", "FREIGHT OUT")</f>
        <v xml:space="preserve">          6305 - FREIGHT OUT</v>
      </c>
      <c r="C63" s="11"/>
      <c r="D63" s="6">
        <v>1977.93</v>
      </c>
      <c r="E63" s="2"/>
      <c r="F63" s="7">
        <f t="shared" si="28"/>
        <v>4.1230307558128877E-2</v>
      </c>
      <c r="G63" s="2"/>
      <c r="H63" s="6">
        <v>1500</v>
      </c>
      <c r="I63" s="2"/>
      <c r="J63" s="7">
        <f t="shared" si="29"/>
        <v>2.2724862514581785E-2</v>
      </c>
      <c r="K63" s="2"/>
      <c r="L63" s="6">
        <f t="shared" si="30"/>
        <v>477.93000000000006</v>
      </c>
      <c r="M63" s="2"/>
      <c r="N63" s="7">
        <f t="shared" si="31"/>
        <v>0.31862000000000007</v>
      </c>
      <c r="O63" s="11"/>
      <c r="P63" s="6">
        <v>4490.78</v>
      </c>
      <c r="Q63" s="2"/>
      <c r="R63" s="7">
        <f t="shared" si="32"/>
        <v>3.2085941205887603E-3</v>
      </c>
      <c r="S63" s="2"/>
      <c r="T63" s="6">
        <v>7900</v>
      </c>
      <c r="U63" s="2"/>
      <c r="V63" s="7">
        <f t="shared" si="33"/>
        <v>2.7539095929826202E-3</v>
      </c>
      <c r="W63" s="2"/>
      <c r="X63" s="6">
        <f t="shared" si="34"/>
        <v>-3409.2200000000003</v>
      </c>
      <c r="Y63" s="2"/>
      <c r="Z63" s="7">
        <f t="shared" si="35"/>
        <v>-0.43154683544303801</v>
      </c>
    </row>
    <row r="64" spans="1:26" s="28" customFormat="1" outlineLevel="1" collapsed="1" x14ac:dyDescent="0.3">
      <c r="A64" s="27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750</v>
      </c>
      <c r="I64" s="1"/>
      <c r="J64" s="5">
        <f t="shared" si="29"/>
        <v>1.1362431257290893E-2</v>
      </c>
      <c r="K64" s="1"/>
      <c r="L64" s="1">
        <f t="shared" si="30"/>
        <v>-750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1375</v>
      </c>
      <c r="U64" s="1"/>
      <c r="V64" s="5">
        <f t="shared" si="33"/>
        <v>4.7931970763938006E-4</v>
      </c>
      <c r="W64" s="1"/>
      <c r="X64" s="1">
        <f t="shared" si="34"/>
        <v>-1375</v>
      </c>
      <c r="Y64" s="1"/>
      <c r="Z64" s="5">
        <f t="shared" si="35"/>
        <v>-1</v>
      </c>
    </row>
    <row r="65" spans="1:26" s="24" customFormat="1" hidden="1" outlineLevel="2" x14ac:dyDescent="0.3">
      <c r="A65" s="29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750</v>
      </c>
      <c r="I65" s="2"/>
      <c r="J65" s="7">
        <f t="shared" si="29"/>
        <v>1.1362431257290893E-2</v>
      </c>
      <c r="K65" s="2"/>
      <c r="L65" s="6">
        <f t="shared" si="30"/>
        <v>-750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1375</v>
      </c>
      <c r="U65" s="2"/>
      <c r="V65" s="7">
        <f t="shared" si="33"/>
        <v>4.7931970763938006E-4</v>
      </c>
      <c r="W65" s="2"/>
      <c r="X65" s="6">
        <f t="shared" si="34"/>
        <v>-1375</v>
      </c>
      <c r="Y65" s="2"/>
      <c r="Z65" s="7">
        <f t="shared" si="35"/>
        <v>-1</v>
      </c>
    </row>
    <row r="66" spans="1:26" s="28" customFormat="1" outlineLevel="1" collapsed="1" x14ac:dyDescent="0.3">
      <c r="A66" s="27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5000</v>
      </c>
      <c r="E66" s="1"/>
      <c r="F66" s="5">
        <f t="shared" si="28"/>
        <v>0.10422590172081134</v>
      </c>
      <c r="G66" s="1"/>
      <c r="H66" s="1">
        <f>SUM(OSRRefH22_7x_0)</f>
        <v>5000</v>
      </c>
      <c r="I66" s="1"/>
      <c r="J66" s="5">
        <f t="shared" si="29"/>
        <v>7.5749541715272622E-2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10000</v>
      </c>
      <c r="Q66" s="1"/>
      <c r="R66" s="5">
        <f t="shared" si="32"/>
        <v>7.1448481568653121E-3</v>
      </c>
      <c r="S66" s="1"/>
      <c r="T66" s="1">
        <f>SUM(OSRRefT22_7x_0)</f>
        <v>10000</v>
      </c>
      <c r="U66" s="1"/>
      <c r="V66" s="5">
        <f t="shared" si="33"/>
        <v>3.4859615101045824E-3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3">
      <c r="A67" s="29"/>
      <c r="B67" s="11" t="str">
        <f>CONCATENATE("          ", "6408", " - ", "INVENTORY ADJUSTMENT")</f>
        <v xml:space="preserve">          6408 - INVENTORY ADJUSTMENT</v>
      </c>
      <c r="C67" s="11"/>
      <c r="D67" s="6">
        <v>5000</v>
      </c>
      <c r="E67" s="2"/>
      <c r="F67" s="7">
        <f t="shared" si="28"/>
        <v>0.10422590172081134</v>
      </c>
      <c r="G67" s="2"/>
      <c r="H67" s="6">
        <v>5000</v>
      </c>
      <c r="I67" s="2"/>
      <c r="J67" s="7">
        <f t="shared" si="29"/>
        <v>7.5749541715272622E-2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10000</v>
      </c>
      <c r="Q67" s="2"/>
      <c r="R67" s="7">
        <f t="shared" si="32"/>
        <v>7.1448481568653121E-3</v>
      </c>
      <c r="S67" s="2"/>
      <c r="T67" s="6">
        <v>10000</v>
      </c>
      <c r="U67" s="2"/>
      <c r="V67" s="7">
        <f t="shared" si="33"/>
        <v>3.4859615101045824E-3</v>
      </c>
      <c r="W67" s="2"/>
      <c r="X67" s="6">
        <f t="shared" si="34"/>
        <v>0</v>
      </c>
      <c r="Y67" s="2"/>
      <c r="Z67" s="7">
        <f t="shared" si="35"/>
        <v>0</v>
      </c>
    </row>
    <row r="68" spans="1:26" s="28" customFormat="1" outlineLevel="1" collapsed="1" x14ac:dyDescent="0.3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SUM(OSRRefD22_8x_0)</f>
        <v>14.62</v>
      </c>
      <c r="E68" s="1"/>
      <c r="F68" s="5">
        <f t="shared" si="28"/>
        <v>3.0475653663165236E-4</v>
      </c>
      <c r="G68" s="1"/>
      <c r="H68" s="1">
        <f>SUM(OSRRefH22_8x_0)</f>
        <v>80</v>
      </c>
      <c r="I68" s="1"/>
      <c r="J68" s="5">
        <f t="shared" si="29"/>
        <v>1.211992667444362E-3</v>
      </c>
      <c r="K68" s="1"/>
      <c r="L68" s="1">
        <f t="shared" si="30"/>
        <v>-65.38</v>
      </c>
      <c r="M68" s="1"/>
      <c r="N68" s="5">
        <f t="shared" si="31"/>
        <v>-0.81724999999999992</v>
      </c>
      <c r="O68" s="14"/>
      <c r="P68" s="1">
        <f>SUM(OSRRefP22_8x_0)</f>
        <v>5869.06</v>
      </c>
      <c r="Q68" s="1"/>
      <c r="R68" s="5">
        <f t="shared" si="32"/>
        <v>4.1933542523531929E-3</v>
      </c>
      <c r="S68" s="1"/>
      <c r="T68" s="1">
        <f>SUM(OSRRefT22_8x_0)</f>
        <v>480</v>
      </c>
      <c r="U68" s="1"/>
      <c r="V68" s="5">
        <f t="shared" si="33"/>
        <v>1.6732615248501995E-4</v>
      </c>
      <c r="W68" s="1"/>
      <c r="X68" s="1">
        <f t="shared" si="34"/>
        <v>5389.06</v>
      </c>
      <c r="Y68" s="1"/>
      <c r="Z68" s="5">
        <f t="shared" si="35"/>
        <v>11.227208333333333</v>
      </c>
    </row>
    <row r="69" spans="1:26" s="24" customFormat="1" hidden="1" outlineLevel="2" x14ac:dyDescent="0.3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28"/>
        <v>0</v>
      </c>
      <c r="G69" s="2"/>
      <c r="H69" s="6"/>
      <c r="I69" s="2"/>
      <c r="J69" s="7">
        <f t="shared" si="29"/>
        <v>0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>
        <v>5775</v>
      </c>
      <c r="Q69" s="2"/>
      <c r="R69" s="7">
        <f t="shared" si="32"/>
        <v>4.1261498105897177E-3</v>
      </c>
      <c r="S69" s="2"/>
      <c r="T69" s="6"/>
      <c r="U69" s="2"/>
      <c r="V69" s="7">
        <f t="shared" si="33"/>
        <v>0</v>
      </c>
      <c r="W69" s="2"/>
      <c r="X69" s="6">
        <f t="shared" si="34"/>
        <v>5775</v>
      </c>
      <c r="Y69" s="2"/>
      <c r="Z69" s="7">
        <f t="shared" si="35"/>
        <v>0</v>
      </c>
    </row>
    <row r="70" spans="1:26" s="24" customFormat="1" hidden="1" outlineLevel="2" x14ac:dyDescent="0.3">
      <c r="A70" s="29"/>
      <c r="B70" s="11" t="str">
        <f>CONCATENATE("          ", "6373", " - ", "MAINTENANCE CONTRACTS")</f>
        <v xml:space="preserve">          6373 - MAINTENANCE CONTRACTS</v>
      </c>
      <c r="C70" s="11"/>
      <c r="D70" s="6">
        <v>14.62</v>
      </c>
      <c r="E70" s="2"/>
      <c r="F70" s="7">
        <f t="shared" si="28"/>
        <v>3.0475653663165236E-4</v>
      </c>
      <c r="G70" s="2"/>
      <c r="H70" s="6">
        <v>40</v>
      </c>
      <c r="I70" s="2"/>
      <c r="J70" s="7">
        <f t="shared" si="29"/>
        <v>6.05996333722181E-4</v>
      </c>
      <c r="K70" s="2"/>
      <c r="L70" s="6">
        <f t="shared" si="30"/>
        <v>-25.380000000000003</v>
      </c>
      <c r="M70" s="2"/>
      <c r="N70" s="7">
        <f t="shared" si="31"/>
        <v>-0.63450000000000006</v>
      </c>
      <c r="O70" s="11"/>
      <c r="P70" s="6">
        <v>94.06</v>
      </c>
      <c r="Q70" s="2"/>
      <c r="R70" s="7">
        <f t="shared" si="32"/>
        <v>6.7204441763475128E-5</v>
      </c>
      <c r="S70" s="2"/>
      <c r="T70" s="6">
        <v>240</v>
      </c>
      <c r="U70" s="2"/>
      <c r="V70" s="7">
        <f t="shared" si="33"/>
        <v>8.3663076242509974E-5</v>
      </c>
      <c r="W70" s="2"/>
      <c r="X70" s="6">
        <f t="shared" si="34"/>
        <v>-145.94</v>
      </c>
      <c r="Y70" s="2"/>
      <c r="Z70" s="7">
        <f t="shared" si="35"/>
        <v>-0.60808333333333331</v>
      </c>
    </row>
    <row r="71" spans="1:26" s="24" customFormat="1" hidden="1" outlineLevel="2" x14ac:dyDescent="0.3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28"/>
        <v>0</v>
      </c>
      <c r="G71" s="2"/>
      <c r="H71" s="6">
        <v>40</v>
      </c>
      <c r="I71" s="2"/>
      <c r="J71" s="7">
        <f t="shared" si="29"/>
        <v>6.05996333722181E-4</v>
      </c>
      <c r="K71" s="2"/>
      <c r="L71" s="6">
        <f t="shared" si="30"/>
        <v>-40</v>
      </c>
      <c r="M71" s="2"/>
      <c r="N71" s="7">
        <f t="shared" si="31"/>
        <v>-1</v>
      </c>
      <c r="O71" s="11"/>
      <c r="P71" s="6"/>
      <c r="Q71" s="2"/>
      <c r="R71" s="7">
        <f t="shared" si="32"/>
        <v>0</v>
      </c>
      <c r="S71" s="2"/>
      <c r="T71" s="6">
        <v>240</v>
      </c>
      <c r="U71" s="2"/>
      <c r="V71" s="7">
        <f t="shared" si="33"/>
        <v>8.3663076242509974E-5</v>
      </c>
      <c r="W71" s="2"/>
      <c r="X71" s="6">
        <f t="shared" si="34"/>
        <v>-240</v>
      </c>
      <c r="Y71" s="2"/>
      <c r="Z71" s="7">
        <f t="shared" si="35"/>
        <v>-1</v>
      </c>
    </row>
    <row r="72" spans="1:26" s="28" customFormat="1" outlineLevel="1" collapsed="1" x14ac:dyDescent="0.3">
      <c r="A72" s="27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SUM(OSRRefD22_9x_0)</f>
        <v>286.24</v>
      </c>
      <c r="E72" s="1"/>
      <c r="F72" s="5">
        <f t="shared" ref="F72:F76" si="36">IF(D$12=0,0,D72/D$12)</f>
        <v>5.9667244217130079E-3</v>
      </c>
      <c r="G72" s="1"/>
      <c r="H72" s="1">
        <f>SUM(OSRRefH22_9x_0)</f>
        <v>300</v>
      </c>
      <c r="I72" s="1"/>
      <c r="J72" s="5">
        <f t="shared" ref="J72:J76" si="37">IF(H$12=0,0,H72/H$12)</f>
        <v>4.5449725029163574E-3</v>
      </c>
      <c r="K72" s="1"/>
      <c r="L72" s="1">
        <f t="shared" ref="L72:L76" si="38">+D72-H72</f>
        <v>-13.759999999999991</v>
      </c>
      <c r="M72" s="1"/>
      <c r="N72" s="5">
        <f t="shared" ref="N72:N76" si="39">IF(H72=0,0,L72/H72)</f>
        <v>-4.5866666666666639E-2</v>
      </c>
      <c r="O72" s="14"/>
      <c r="P72" s="1">
        <f>SUM(OSRRefP22_9x_0)</f>
        <v>1511.74</v>
      </c>
      <c r="Q72" s="1"/>
      <c r="R72" s="5">
        <f t="shared" ref="R72:R76" si="40">IF(P$12=0,0,P72/P$12)</f>
        <v>1.0801152752659567E-3</v>
      </c>
      <c r="S72" s="1"/>
      <c r="T72" s="1">
        <f>SUM(OSRRefT22_9x_0)</f>
        <v>1800</v>
      </c>
      <c r="U72" s="1"/>
      <c r="V72" s="5">
        <f t="shared" ref="V72:V76" si="41">IF(T$12=0,0,T72/T$12)</f>
        <v>6.2747307181882479E-4</v>
      </c>
      <c r="W72" s="1"/>
      <c r="X72" s="1">
        <f t="shared" ref="X72:X76" si="42">+P72-T72</f>
        <v>-288.26</v>
      </c>
      <c r="Y72" s="1"/>
      <c r="Z72" s="5">
        <f t="shared" ref="Z72:Z76" si="43">IF(T72=0,0,X72/T72)</f>
        <v>-0.16014444444444445</v>
      </c>
    </row>
    <row r="73" spans="1:26" s="24" customFormat="1" hidden="1" outlineLevel="2" x14ac:dyDescent="0.3">
      <c r="A73" s="29"/>
      <c r="B73" s="11" t="str">
        <f>CONCATENATE("          ", "6258", " - ", "MEMBERSHIP DUES")</f>
        <v xml:space="preserve">          6258 - MEMBERSHIP DUES</v>
      </c>
      <c r="C73" s="11"/>
      <c r="D73" s="6">
        <v>286.24</v>
      </c>
      <c r="E73" s="2"/>
      <c r="F73" s="7">
        <f t="shared" si="36"/>
        <v>5.9667244217130079E-3</v>
      </c>
      <c r="G73" s="2"/>
      <c r="H73" s="6">
        <v>300</v>
      </c>
      <c r="I73" s="2"/>
      <c r="J73" s="7">
        <f t="shared" si="37"/>
        <v>4.5449725029163574E-3</v>
      </c>
      <c r="K73" s="2"/>
      <c r="L73" s="6">
        <f t="shared" si="38"/>
        <v>-13.759999999999991</v>
      </c>
      <c r="M73" s="2"/>
      <c r="N73" s="7">
        <f t="shared" si="39"/>
        <v>-4.5866666666666639E-2</v>
      </c>
      <c r="O73" s="11"/>
      <c r="P73" s="6">
        <v>1511.74</v>
      </c>
      <c r="Q73" s="2"/>
      <c r="R73" s="7">
        <f t="shared" si="40"/>
        <v>1.0801152752659567E-3</v>
      </c>
      <c r="S73" s="2"/>
      <c r="T73" s="6">
        <v>1800</v>
      </c>
      <c r="U73" s="2"/>
      <c r="V73" s="7">
        <f t="shared" si="41"/>
        <v>6.2747307181882479E-4</v>
      </c>
      <c r="W73" s="2"/>
      <c r="X73" s="6">
        <f t="shared" si="42"/>
        <v>-288.26</v>
      </c>
      <c r="Y73" s="2"/>
      <c r="Z73" s="7">
        <f t="shared" si="43"/>
        <v>-0.16014444444444445</v>
      </c>
    </row>
    <row r="74" spans="1:26" s="28" customFormat="1" outlineLevel="1" collapsed="1" x14ac:dyDescent="0.3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SUM(OSRRefD22_10x_0)</f>
        <v>131.44</v>
      </c>
      <c r="E74" s="1"/>
      <c r="F74" s="5">
        <f t="shared" si="36"/>
        <v>2.7398905044366886E-3</v>
      </c>
      <c r="G74" s="1"/>
      <c r="H74" s="1">
        <f>SUM(OSRRefH22_10x_0)</f>
        <v>1100</v>
      </c>
      <c r="I74" s="1"/>
      <c r="J74" s="5">
        <f t="shared" si="37"/>
        <v>1.6664899177359978E-2</v>
      </c>
      <c r="K74" s="1"/>
      <c r="L74" s="1">
        <f t="shared" si="38"/>
        <v>-968.56</v>
      </c>
      <c r="M74" s="1"/>
      <c r="N74" s="5">
        <f t="shared" si="39"/>
        <v>-0.88050909090909091</v>
      </c>
      <c r="O74" s="14"/>
      <c r="P74" s="1">
        <f>SUM(OSRRefP22_10x_0)</f>
        <v>1075.77</v>
      </c>
      <c r="Q74" s="1"/>
      <c r="R74" s="5">
        <f t="shared" si="40"/>
        <v>7.686213301710997E-4</v>
      </c>
      <c r="S74" s="1"/>
      <c r="T74" s="1">
        <f>SUM(OSRRefT22_10x_0)</f>
        <v>4800</v>
      </c>
      <c r="U74" s="1"/>
      <c r="V74" s="5">
        <f t="shared" si="41"/>
        <v>1.6732615248501994E-3</v>
      </c>
      <c r="W74" s="1"/>
      <c r="X74" s="1">
        <f t="shared" si="42"/>
        <v>-3724.23</v>
      </c>
      <c r="Y74" s="1"/>
      <c r="Z74" s="5">
        <f t="shared" si="43"/>
        <v>-0.77588124999999997</v>
      </c>
    </row>
    <row r="75" spans="1:26" s="24" customFormat="1" hidden="1" outlineLevel="2" x14ac:dyDescent="0.3">
      <c r="A75" s="29"/>
      <c r="B75" s="11" t="str">
        <f>CONCATENATE("          ", "6241", " - ", "OFFICE EXPENSE")</f>
        <v xml:space="preserve">          6241 - OFFICE EXPENSE</v>
      </c>
      <c r="C75" s="11"/>
      <c r="D75" s="6">
        <v>131.44</v>
      </c>
      <c r="E75" s="2"/>
      <c r="F75" s="7">
        <f t="shared" si="36"/>
        <v>2.7398905044366886E-3</v>
      </c>
      <c r="G75" s="2"/>
      <c r="H75" s="6">
        <v>800</v>
      </c>
      <c r="I75" s="2"/>
      <c r="J75" s="7">
        <f t="shared" si="37"/>
        <v>1.211992667444362E-2</v>
      </c>
      <c r="K75" s="2"/>
      <c r="L75" s="6">
        <f t="shared" si="38"/>
        <v>-668.56</v>
      </c>
      <c r="M75" s="2"/>
      <c r="N75" s="7">
        <f t="shared" si="39"/>
        <v>-0.83569999999999989</v>
      </c>
      <c r="O75" s="11"/>
      <c r="P75" s="6">
        <v>1075.77</v>
      </c>
      <c r="Q75" s="2"/>
      <c r="R75" s="7">
        <f t="shared" si="40"/>
        <v>7.686213301710997E-4</v>
      </c>
      <c r="S75" s="2"/>
      <c r="T75" s="6">
        <v>2600</v>
      </c>
      <c r="U75" s="2"/>
      <c r="V75" s="7">
        <f t="shared" si="41"/>
        <v>9.0634999262719136E-4</v>
      </c>
      <c r="W75" s="2"/>
      <c r="X75" s="6">
        <f t="shared" si="42"/>
        <v>-1524.23</v>
      </c>
      <c r="Y75" s="2"/>
      <c r="Z75" s="7">
        <f t="shared" si="43"/>
        <v>-0.58624230769230767</v>
      </c>
    </row>
    <row r="76" spans="1:26" s="24" customFormat="1" hidden="1" outlineLevel="2" x14ac:dyDescent="0.3">
      <c r="A76" s="29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36"/>
        <v>0</v>
      </c>
      <c r="G76" s="2"/>
      <c r="H76" s="6">
        <v>300</v>
      </c>
      <c r="I76" s="2"/>
      <c r="J76" s="7">
        <f t="shared" si="37"/>
        <v>4.5449725029163574E-3</v>
      </c>
      <c r="K76" s="2"/>
      <c r="L76" s="6">
        <f t="shared" si="38"/>
        <v>-300</v>
      </c>
      <c r="M76" s="2"/>
      <c r="N76" s="7">
        <f t="shared" si="39"/>
        <v>-1</v>
      </c>
      <c r="O76" s="11"/>
      <c r="P76" s="6"/>
      <c r="Q76" s="2"/>
      <c r="R76" s="7">
        <f t="shared" si="40"/>
        <v>0</v>
      </c>
      <c r="S76" s="2"/>
      <c r="T76" s="6">
        <v>2200</v>
      </c>
      <c r="U76" s="2"/>
      <c r="V76" s="7">
        <f t="shared" si="41"/>
        <v>7.6691153222300807E-4</v>
      </c>
      <c r="W76" s="2"/>
      <c r="X76" s="6">
        <f t="shared" si="42"/>
        <v>-2200</v>
      </c>
      <c r="Y76" s="2"/>
      <c r="Z76" s="7">
        <f t="shared" si="43"/>
        <v>-1</v>
      </c>
    </row>
    <row r="77" spans="1:26" s="28" customFormat="1" outlineLevel="1" collapsed="1" x14ac:dyDescent="0.3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SUM(OSRRefD22_11x_0)</f>
        <v>61.5</v>
      </c>
      <c r="E77" s="1"/>
      <c r="F77" s="5">
        <f t="shared" ref="F77:F79" si="44">IF(D$12=0,0,D77/D$12)</f>
        <v>1.2819785911659795E-3</v>
      </c>
      <c r="G77" s="1"/>
      <c r="H77" s="1">
        <f>SUM(OSRRefH22_11x_0)</f>
        <v>500</v>
      </c>
      <c r="I77" s="1"/>
      <c r="J77" s="5">
        <f t="shared" ref="J77:J79" si="45">IF(H$12=0,0,H77/H$12)</f>
        <v>7.5749541715272621E-3</v>
      </c>
      <c r="K77" s="1"/>
      <c r="L77" s="1">
        <f t="shared" ref="L77:L79" si="46">+D77-H77</f>
        <v>-438.5</v>
      </c>
      <c r="M77" s="1"/>
      <c r="N77" s="5">
        <f t="shared" ref="N77:N79" si="47">IF(H77=0,0,L77/H77)</f>
        <v>-0.877</v>
      </c>
      <c r="O77" s="14"/>
      <c r="P77" s="1">
        <f>SUM(OSRRefP22_11x_0)</f>
        <v>3078.85</v>
      </c>
      <c r="Q77" s="1"/>
      <c r="R77" s="5">
        <f t="shared" ref="R77:R79" si="48">IF(P$12=0,0,P77/P$12)</f>
        <v>2.1997915747764764E-3</v>
      </c>
      <c r="S77" s="1"/>
      <c r="T77" s="1">
        <f>SUM(OSRRefT22_11x_0)</f>
        <v>2600</v>
      </c>
      <c r="U77" s="1"/>
      <c r="V77" s="5">
        <f t="shared" ref="V77:V79" si="49">IF(T$12=0,0,T77/T$12)</f>
        <v>9.0634999262719136E-4</v>
      </c>
      <c r="W77" s="1"/>
      <c r="X77" s="1">
        <f t="shared" ref="X77:X79" si="50">+P77-T77</f>
        <v>478.84999999999991</v>
      </c>
      <c r="Y77" s="1"/>
      <c r="Z77" s="5">
        <f t="shared" ref="Z77:Z79" si="51">IF(T77=0,0,X77/T77)</f>
        <v>0.18417307692307688</v>
      </c>
    </row>
    <row r="78" spans="1:26" s="24" customFormat="1" hidden="1" outlineLevel="2" x14ac:dyDescent="0.3">
      <c r="A78" s="29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44"/>
        <v>0</v>
      </c>
      <c r="G78" s="2"/>
      <c r="H78" s="6">
        <v>0</v>
      </c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295</v>
      </c>
      <c r="Q78" s="2"/>
      <c r="R78" s="7">
        <f t="shared" si="48"/>
        <v>2.1077302062752671E-4</v>
      </c>
      <c r="S78" s="2"/>
      <c r="T78" s="6">
        <v>0</v>
      </c>
      <c r="U78" s="2"/>
      <c r="V78" s="7">
        <f t="shared" si="49"/>
        <v>0</v>
      </c>
      <c r="W78" s="2"/>
      <c r="X78" s="6">
        <f t="shared" si="50"/>
        <v>295</v>
      </c>
      <c r="Y78" s="2"/>
      <c r="Z78" s="7">
        <f t="shared" si="51"/>
        <v>0</v>
      </c>
    </row>
    <row r="79" spans="1:26" s="24" customFormat="1" hidden="1" outlineLevel="2" x14ac:dyDescent="0.3">
      <c r="A79" s="29"/>
      <c r="B79" s="11" t="str">
        <f>CONCATENATE("          ", "6309", " - ", "TELEPHONE")</f>
        <v xml:space="preserve">          6309 - TELEPHONE</v>
      </c>
      <c r="C79" s="11"/>
      <c r="D79" s="6">
        <v>61.5</v>
      </c>
      <c r="E79" s="2"/>
      <c r="F79" s="7">
        <f t="shared" si="44"/>
        <v>1.2819785911659795E-3</v>
      </c>
      <c r="G79" s="2"/>
      <c r="H79" s="6">
        <v>500</v>
      </c>
      <c r="I79" s="2"/>
      <c r="J79" s="7">
        <f t="shared" si="45"/>
        <v>7.5749541715272621E-3</v>
      </c>
      <c r="K79" s="2"/>
      <c r="L79" s="6">
        <f t="shared" si="46"/>
        <v>-438.5</v>
      </c>
      <c r="M79" s="2"/>
      <c r="N79" s="7">
        <f t="shared" si="47"/>
        <v>-0.877</v>
      </c>
      <c r="O79" s="11"/>
      <c r="P79" s="6">
        <v>2783.85</v>
      </c>
      <c r="Q79" s="2"/>
      <c r="R79" s="7">
        <f t="shared" si="48"/>
        <v>1.9890185541489498E-3</v>
      </c>
      <c r="S79" s="2"/>
      <c r="T79" s="6">
        <v>2600</v>
      </c>
      <c r="U79" s="2"/>
      <c r="V79" s="7">
        <f t="shared" si="49"/>
        <v>9.0634999262719136E-4</v>
      </c>
      <c r="W79" s="2"/>
      <c r="X79" s="6">
        <f t="shared" si="50"/>
        <v>183.84999999999991</v>
      </c>
      <c r="Y79" s="2"/>
      <c r="Z79" s="7">
        <f t="shared" si="51"/>
        <v>7.0711538461538423E-2</v>
      </c>
    </row>
    <row r="80" spans="1:26" s="28" customFormat="1" outlineLevel="1" collapsed="1" x14ac:dyDescent="0.3">
      <c r="A80" s="27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SUM(OSRRefD22_12x_0)</f>
        <v>0</v>
      </c>
      <c r="E80" s="1"/>
      <c r="F80" s="5">
        <f t="shared" ref="F80:F81" si="52">IF(D$12=0,0,D80/D$12)</f>
        <v>0</v>
      </c>
      <c r="G80" s="1"/>
      <c r="H80" s="1">
        <f>SUM(OSRRefH22_12x_0)</f>
        <v>0</v>
      </c>
      <c r="I80" s="1"/>
      <c r="J80" s="5">
        <f t="shared" ref="J80:J81" si="53">IF(H$12=0,0,H80/H$12)</f>
        <v>0</v>
      </c>
      <c r="K80" s="1"/>
      <c r="L80" s="1">
        <f t="shared" ref="L80:L81" si="54">+D80-H80</f>
        <v>0</v>
      </c>
      <c r="M80" s="1"/>
      <c r="N80" s="5">
        <f t="shared" ref="N80:N81" si="55">IF(H80=0,0,L80/H80)</f>
        <v>0</v>
      </c>
      <c r="O80" s="14"/>
      <c r="P80" s="1">
        <f>SUM(OSRRefP22_12x_0)</f>
        <v>0</v>
      </c>
      <c r="Q80" s="1"/>
      <c r="R80" s="5">
        <f t="shared" ref="R80:R81" si="56">IF(P$12=0,0,P80/P$12)</f>
        <v>0</v>
      </c>
      <c r="S80" s="1"/>
      <c r="T80" s="1">
        <f>SUM(OSRRefT22_12x_0)</f>
        <v>0</v>
      </c>
      <c r="U80" s="1"/>
      <c r="V80" s="5">
        <f t="shared" ref="V80:V81" si="57">IF(T$12=0,0,T80/T$12)</f>
        <v>0</v>
      </c>
      <c r="W80" s="1"/>
      <c r="X80" s="1">
        <f t="shared" ref="X80:X81" si="58">+P80-T80</f>
        <v>0</v>
      </c>
      <c r="Y80" s="1"/>
      <c r="Z80" s="5">
        <f t="shared" ref="Z80:Z81" si="59">IF(T80=0,0,X80/T80)</f>
        <v>0</v>
      </c>
    </row>
    <row r="81" spans="1:26" s="24" customFormat="1" hidden="1" outlineLevel="2" x14ac:dyDescent="0.3">
      <c r="A81" s="29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52"/>
        <v>0</v>
      </c>
      <c r="G81" s="2"/>
      <c r="H81" s="6">
        <v>0</v>
      </c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/>
      <c r="Q81" s="2"/>
      <c r="R81" s="7">
        <f t="shared" si="56"/>
        <v>0</v>
      </c>
      <c r="S81" s="2"/>
      <c r="T81" s="6">
        <v>0</v>
      </c>
      <c r="U81" s="2"/>
      <c r="V81" s="7">
        <f t="shared" si="57"/>
        <v>0</v>
      </c>
      <c r="W81" s="2"/>
      <c r="X81" s="6">
        <f t="shared" si="58"/>
        <v>0</v>
      </c>
      <c r="Y81" s="2"/>
      <c r="Z81" s="7">
        <f t="shared" si="59"/>
        <v>0</v>
      </c>
    </row>
    <row r="82" spans="1:26" s="55" customFormat="1" x14ac:dyDescent="0.3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3">
      <c r="A83" s="10"/>
      <c r="B83" s="25" t="s">
        <v>293</v>
      </c>
      <c r="C83" s="10"/>
      <c r="D83" s="4">
        <f>SUM(OSRRefD25x_0)</f>
        <v>931.69</v>
      </c>
      <c r="E83" s="4"/>
      <c r="F83" s="12">
        <f t="shared" ref="F83:F87" si="60">IF(D$12=0,0,D83/D$12)</f>
        <v>1.9421246074852544E-2</v>
      </c>
      <c r="G83" s="4"/>
      <c r="H83" s="4">
        <f>SUM(OSRRefH25x_0)</f>
        <v>6182</v>
      </c>
      <c r="I83" s="4"/>
      <c r="J83" s="12">
        <f t="shared" ref="J83:J87" si="61">IF(H$12=0,0,H83/H$12)</f>
        <v>9.3656733376763071E-2</v>
      </c>
      <c r="K83" s="4"/>
      <c r="L83" s="4">
        <f t="shared" ref="L83:L87" si="62">+D83-H83</f>
        <v>-5250.3099999999995</v>
      </c>
      <c r="M83" s="4"/>
      <c r="N83" s="12">
        <f t="shared" ref="N83:N87" si="63">IF(H83=0,0,L83/H83)</f>
        <v>-0.8492898738272403</v>
      </c>
      <c r="O83" s="10"/>
      <c r="P83" s="4">
        <f>SUM(OSRRefP25x_0)</f>
        <v>190903.72</v>
      </c>
      <c r="Q83" s="4"/>
      <c r="R83" s="12">
        <f t="shared" ref="R83:R87" si="64">IF(P$12=0,0,P83/P$12)</f>
        <v>0.13639780919807318</v>
      </c>
      <c r="S83" s="4"/>
      <c r="T83" s="4">
        <f>SUM(OSRRefT25x_0)</f>
        <v>184486.5</v>
      </c>
      <c r="U83" s="4"/>
      <c r="V83" s="12">
        <f t="shared" ref="V83:V87" si="65">IF(T$12=0,0,T83/T$12)</f>
        <v>6.4311283813390907E-2</v>
      </c>
      <c r="W83" s="4"/>
      <c r="X83" s="4">
        <f t="shared" ref="X83:X87" si="66">+P83-T83</f>
        <v>6417.2200000000012</v>
      </c>
      <c r="Y83" s="4"/>
      <c r="Z83" s="12">
        <f t="shared" ref="Z83:Z87" si="67">IF(T83=0,0,X83/T83)</f>
        <v>3.4784225404026863E-2</v>
      </c>
    </row>
    <row r="84" spans="1:26" s="24" customFormat="1" hidden="1" outlineLevel="1" x14ac:dyDescent="0.3">
      <c r="A84" s="44"/>
      <c r="B84" s="11" t="str">
        <f>CONCATENATE("          ", "9150", " - ", "MISC. INCOME")</f>
        <v xml:space="preserve">          9150 - MISC. INCOME</v>
      </c>
      <c r="C84" s="11"/>
      <c r="D84" s="2">
        <f t="shared" ref="D84:D85" si="68">0</f>
        <v>0</v>
      </c>
      <c r="E84" s="2"/>
      <c r="F84" s="19">
        <f t="shared" si="60"/>
        <v>0</v>
      </c>
      <c r="G84" s="2"/>
      <c r="H84" s="2">
        <v>6182</v>
      </c>
      <c r="I84" s="2"/>
      <c r="J84" s="19">
        <f t="shared" si="61"/>
        <v>9.3656733376763071E-2</v>
      </c>
      <c r="K84" s="2"/>
      <c r="L84" s="2">
        <f t="shared" si="62"/>
        <v>-6182</v>
      </c>
      <c r="M84" s="2"/>
      <c r="N84" s="19">
        <f t="shared" si="63"/>
        <v>-1</v>
      </c>
      <c r="O84" s="11"/>
      <c r="P84" s="2">
        <f>--19313.26</f>
        <v>19313.259999999998</v>
      </c>
      <c r="Q84" s="2"/>
      <c r="R84" s="19">
        <f t="shared" si="64"/>
        <v>1.3799031011406055E-2</v>
      </c>
      <c r="S84" s="2"/>
      <c r="T84" s="2">
        <v>22506</v>
      </c>
      <c r="U84" s="2"/>
      <c r="V84" s="19">
        <f t="shared" si="65"/>
        <v>7.8455049746413725E-3</v>
      </c>
      <c r="W84" s="2"/>
      <c r="X84" s="2">
        <f t="shared" si="66"/>
        <v>-3192.7400000000016</v>
      </c>
      <c r="Y84" s="2"/>
      <c r="Z84" s="19">
        <f t="shared" si="67"/>
        <v>-0.14186172576201908</v>
      </c>
    </row>
    <row r="85" spans="1:26" s="24" customFormat="1" hidden="1" outlineLevel="1" x14ac:dyDescent="0.3">
      <c r="A85" s="44"/>
      <c r="B85" s="11" t="str">
        <f>CONCATENATE("          ", "9151", " - ", "MISC. INCOME")</f>
        <v xml:space="preserve">          9151 - MISC. INCOME</v>
      </c>
      <c r="C85" s="11"/>
      <c r="D85" s="2">
        <f t="shared" si="68"/>
        <v>0</v>
      </c>
      <c r="E85" s="2"/>
      <c r="F85" s="19">
        <f t="shared" si="60"/>
        <v>0</v>
      </c>
      <c r="G85" s="2"/>
      <c r="H85" s="2"/>
      <c r="I85" s="2"/>
      <c r="J85" s="19">
        <f t="shared" si="61"/>
        <v>0</v>
      </c>
      <c r="K85" s="2"/>
      <c r="L85" s="2">
        <f t="shared" si="62"/>
        <v>0</v>
      </c>
      <c r="M85" s="2"/>
      <c r="N85" s="19">
        <f t="shared" si="63"/>
        <v>0</v>
      </c>
      <c r="O85" s="11"/>
      <c r="P85" s="2">
        <f>--168463.36</f>
        <v>168463.35999999999</v>
      </c>
      <c r="Q85" s="2"/>
      <c r="R85" s="19">
        <f t="shared" si="64"/>
        <v>0.12036451271953374</v>
      </c>
      <c r="S85" s="2"/>
      <c r="T85" s="2">
        <v>161980.5</v>
      </c>
      <c r="U85" s="2"/>
      <c r="V85" s="19">
        <f t="shared" si="65"/>
        <v>5.6465778838749529E-2</v>
      </c>
      <c r="W85" s="2"/>
      <c r="X85" s="2">
        <f t="shared" si="66"/>
        <v>6482.859999999986</v>
      </c>
      <c r="Y85" s="2"/>
      <c r="Z85" s="19">
        <f t="shared" si="67"/>
        <v>4.0022471840746178E-2</v>
      </c>
    </row>
    <row r="86" spans="1:26" s="24" customFormat="1" hidden="1" outlineLevel="1" x14ac:dyDescent="0.3">
      <c r="A86" s="44"/>
      <c r="B86" s="11" t="str">
        <f>CONCATENATE("          ", "9152", " - ", "MISC. INCOME")</f>
        <v xml:space="preserve">          9152 - MISC. INCOME</v>
      </c>
      <c r="C86" s="11"/>
      <c r="D86" s="2">
        <f>--931.69</f>
        <v>931.69</v>
      </c>
      <c r="E86" s="2"/>
      <c r="F86" s="19">
        <f t="shared" si="60"/>
        <v>1.9421246074852544E-2</v>
      </c>
      <c r="G86" s="2"/>
      <c r="H86" s="2"/>
      <c r="I86" s="2"/>
      <c r="J86" s="19">
        <f t="shared" si="61"/>
        <v>0</v>
      </c>
      <c r="K86" s="2"/>
      <c r="L86" s="2">
        <f t="shared" si="62"/>
        <v>931.69</v>
      </c>
      <c r="M86" s="2"/>
      <c r="N86" s="19">
        <f t="shared" si="63"/>
        <v>0</v>
      </c>
      <c r="O86" s="11"/>
      <c r="P86" s="2">
        <f>--3127.1</f>
        <v>3127.1</v>
      </c>
      <c r="Q86" s="2"/>
      <c r="R86" s="19">
        <f t="shared" si="64"/>
        <v>2.2342654671333516E-3</v>
      </c>
      <c r="S86" s="2"/>
      <c r="T86" s="2"/>
      <c r="U86" s="2"/>
      <c r="V86" s="19">
        <f t="shared" si="65"/>
        <v>0</v>
      </c>
      <c r="W86" s="2"/>
      <c r="X86" s="2">
        <f t="shared" si="66"/>
        <v>3127.1</v>
      </c>
      <c r="Y86" s="2"/>
      <c r="Z86" s="19">
        <f t="shared" si="67"/>
        <v>0</v>
      </c>
    </row>
    <row r="87" spans="1:26" s="24" customFormat="1" hidden="1" outlineLevel="1" x14ac:dyDescent="0.3">
      <c r="A87" s="44"/>
      <c r="B87" s="11" t="str">
        <f>CONCATENATE("          ", "9160", " - ", "MISC. INCOME")</f>
        <v xml:space="preserve">          9160 - MISC. INCOME</v>
      </c>
      <c r="C87" s="11"/>
      <c r="D87" s="2">
        <f>0</f>
        <v>0</v>
      </c>
      <c r="E87" s="2"/>
      <c r="F87" s="19">
        <f t="shared" si="60"/>
        <v>0</v>
      </c>
      <c r="G87" s="2"/>
      <c r="H87" s="2">
        <v>0</v>
      </c>
      <c r="I87" s="2"/>
      <c r="J87" s="19">
        <f t="shared" si="61"/>
        <v>0</v>
      </c>
      <c r="K87" s="2"/>
      <c r="L87" s="2">
        <f t="shared" si="62"/>
        <v>0</v>
      </c>
      <c r="M87" s="2"/>
      <c r="N87" s="19">
        <f t="shared" si="63"/>
        <v>0</v>
      </c>
      <c r="O87" s="11"/>
      <c r="P87" s="2">
        <f>0</f>
        <v>0</v>
      </c>
      <c r="Q87" s="2"/>
      <c r="R87" s="19">
        <f t="shared" si="64"/>
        <v>0</v>
      </c>
      <c r="S87" s="2"/>
      <c r="T87" s="2">
        <v>0</v>
      </c>
      <c r="U87" s="2"/>
      <c r="V87" s="19">
        <f t="shared" si="65"/>
        <v>0</v>
      </c>
      <c r="W87" s="2"/>
      <c r="X87" s="2">
        <f t="shared" si="66"/>
        <v>0</v>
      </c>
      <c r="Y87" s="2"/>
      <c r="Z87" s="19">
        <f t="shared" si="67"/>
        <v>0</v>
      </c>
    </row>
    <row r="88" spans="1:26" x14ac:dyDescent="0.3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10"/>
      <c r="B89" s="26" t="s">
        <v>277</v>
      </c>
      <c r="C89" s="26"/>
      <c r="D89" s="20">
        <f>+D31-D33+D83</f>
        <v>-36303.560000000012</v>
      </c>
      <c r="E89" s="13"/>
      <c r="F89" s="22">
        <f>IF(D$12=0,0,D89/D$12)</f>
        <v>-0.75675425533511576</v>
      </c>
      <c r="G89" s="13"/>
      <c r="H89" s="20">
        <f>+H31-H33+H83</f>
        <v>-27243.292318989712</v>
      </c>
      <c r="I89" s="13"/>
      <c r="J89" s="22">
        <f>IF(H$12=0,0,H89/H$12)</f>
        <v>-0.41273338159573547</v>
      </c>
      <c r="K89" s="16"/>
      <c r="L89" s="20">
        <f>+D89-H89</f>
        <v>-9060.2676810103003</v>
      </c>
      <c r="M89" s="16"/>
      <c r="N89" s="22">
        <f>IF(H89=0,0,L89/H89)</f>
        <v>0.33256875031564798</v>
      </c>
      <c r="O89" s="25"/>
      <c r="P89" s="20">
        <f>+P31-P33+P83</f>
        <v>170123.9300000002</v>
      </c>
      <c r="Q89" s="13"/>
      <c r="R89" s="22">
        <f>IF(P$12=0,0,P89/P$12)</f>
        <v>0.12155096476991847</v>
      </c>
      <c r="S89" s="13"/>
      <c r="T89" s="20">
        <f>+T31-T33+T83</f>
        <v>655209.00244656648</v>
      </c>
      <c r="U89" s="13"/>
      <c r="V89" s="22">
        <f>IF(T$12=0,0,T89/T$12)</f>
        <v>0.22840333636027499</v>
      </c>
      <c r="W89" s="16"/>
      <c r="X89" s="20">
        <f>+P89-T89</f>
        <v>-485085.07244656631</v>
      </c>
      <c r="Y89" s="16"/>
      <c r="Z89" s="22">
        <f>IF(T89=0,0,X89/T89)</f>
        <v>-0.74035165975321882</v>
      </c>
    </row>
    <row r="90" spans="1:26" x14ac:dyDescent="0.3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52"/>
      <c r="B91" s="10" t="s">
        <v>128</v>
      </c>
      <c r="C91" s="10"/>
      <c r="D91" s="4">
        <v>7476.31</v>
      </c>
      <c r="E91" s="4"/>
      <c r="F91" s="12">
        <f>IF(D$12=0,0,D91/D$12)</f>
        <v>0.15584503025886381</v>
      </c>
      <c r="G91" s="4"/>
      <c r="H91" s="4">
        <v>21042</v>
      </c>
      <c r="I91" s="4"/>
      <c r="J91" s="12">
        <f>IF(H$12=0,0,H91/H$12)</f>
        <v>0.31878437135455329</v>
      </c>
      <c r="K91" s="4"/>
      <c r="L91" s="4">
        <f>+D91-H91</f>
        <v>-13565.689999999999</v>
      </c>
      <c r="M91" s="4"/>
      <c r="N91" s="12">
        <f>IF(H91=0,0,L91/H91)</f>
        <v>-0.64469584640243316</v>
      </c>
      <c r="O91" s="10"/>
      <c r="P91" s="4">
        <v>168472.16</v>
      </c>
      <c r="Q91" s="4"/>
      <c r="R91" s="12">
        <f>IF(P$12=0,0,P91/P$12)</f>
        <v>0.1203708001859118</v>
      </c>
      <c r="S91" s="4"/>
      <c r="T91" s="4">
        <v>371407</v>
      </c>
      <c r="U91" s="4"/>
      <c r="V91" s="12">
        <f>IF(T$12=0,0,T91/T$12)</f>
        <v>0.12947105065834127</v>
      </c>
      <c r="W91" s="4"/>
      <c r="X91" s="4">
        <f>+P91-T91</f>
        <v>-202934.84</v>
      </c>
      <c r="Y91" s="4"/>
      <c r="Z91" s="12">
        <f>IF(T91=0,0,X91/T91)</f>
        <v>-0.54639476369589157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126</v>
      </c>
      <c r="C93" s="26"/>
      <c r="D93" s="31">
        <f>+D89-D91</f>
        <v>-43779.87000000001</v>
      </c>
      <c r="E93" s="13"/>
      <c r="F93" s="30">
        <f>IF(D$12=0,0,D93/D$12)</f>
        <v>-0.91259928559397951</v>
      </c>
      <c r="G93" s="13"/>
      <c r="H93" s="31">
        <f>+H89-H91</f>
        <v>-48285.292318989712</v>
      </c>
      <c r="I93" s="13"/>
      <c r="J93" s="30">
        <f>IF(H$12=0,0,H93/H$12)</f>
        <v>-0.73151775295028876</v>
      </c>
      <c r="K93" s="16"/>
      <c r="L93" s="31">
        <f>D93-H93</f>
        <v>4505.422318989702</v>
      </c>
      <c r="M93" s="16"/>
      <c r="N93" s="30">
        <f>IF(H93=0,0,L93/H93)</f>
        <v>-9.3308378237109746E-2</v>
      </c>
      <c r="O93" s="25"/>
      <c r="P93" s="31">
        <f>+P89-P91</f>
        <v>1651.7700000001932</v>
      </c>
      <c r="Q93" s="13"/>
      <c r="R93" s="30">
        <f>IF(P$12=0,0,P93/P$12)</f>
        <v>1.1801645840066796E-3</v>
      </c>
      <c r="S93" s="13"/>
      <c r="T93" s="31">
        <f>+T89-T91</f>
        <v>283802.00244656648</v>
      </c>
      <c r="U93" s="13"/>
      <c r="V93" s="30">
        <f>IF(T$12=0,0,T93/T$12)</f>
        <v>9.8932285701933728E-2</v>
      </c>
      <c r="W93" s="16"/>
      <c r="X93" s="31">
        <f>P93-T93</f>
        <v>-282150.23244656628</v>
      </c>
      <c r="Y93" s="16"/>
      <c r="Z93" s="30">
        <f>IF(T93=0,0,X93/T93)</f>
        <v>-0.99417985079118254</v>
      </c>
    </row>
    <row r="94" spans="1:26" ht="15" thickTop="1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294</v>
      </c>
      <c r="C96" s="26"/>
      <c r="D96" s="35">
        <f>SUM(D93:D95)</f>
        <v>-43779.87000000001</v>
      </c>
      <c r="E96" s="13"/>
      <c r="F96" s="34">
        <f>IF(D$12=0,0,D96/D$12)</f>
        <v>-0.91259928559397951</v>
      </c>
      <c r="G96" s="13"/>
      <c r="H96" s="35">
        <f>SUM(H93:H95)</f>
        <v>-48285.292318989712</v>
      </c>
      <c r="I96" s="13"/>
      <c r="J96" s="34">
        <f>IF(H$12=0,0,H96/H$12)</f>
        <v>-0.73151775295028876</v>
      </c>
      <c r="K96" s="16"/>
      <c r="L96" s="35">
        <f>+D96-H96</f>
        <v>4505.422318989702</v>
      </c>
      <c r="M96" s="16"/>
      <c r="N96" s="34">
        <f>IF(H96=0,0,L96/H96)</f>
        <v>-9.3308378237109746E-2</v>
      </c>
      <c r="O96" s="25"/>
      <c r="P96" s="35">
        <f>SUM(P93:P95)</f>
        <v>1651.7700000001932</v>
      </c>
      <c r="Q96" s="13"/>
      <c r="R96" s="34">
        <f>IF(P$12=0,0,P96/P$12)</f>
        <v>1.1801645840066796E-3</v>
      </c>
      <c r="S96" s="13"/>
      <c r="T96" s="35">
        <f>SUM(T93:T95)</f>
        <v>283802.00244656648</v>
      </c>
      <c r="U96" s="13"/>
      <c r="V96" s="34">
        <f>IF(T$12=0,0,T96/T$12)</f>
        <v>9.8932285701933728E-2</v>
      </c>
      <c r="W96" s="16"/>
      <c r="X96" s="35">
        <f>+P96-T96</f>
        <v>-282150.23244656628</v>
      </c>
      <c r="Y96" s="16"/>
      <c r="Z96" s="34">
        <f>IF(T96=0,0,X96/T96)</f>
        <v>-0.99417985079118254</v>
      </c>
    </row>
    <row r="97" spans="1:24" ht="15" thickTop="1" x14ac:dyDescent="0.3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A98" s="9"/>
      <c r="B98" s="61">
        <v>44575.842101886577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3">
      <c r="A99" s="9"/>
      <c r="B99" s="62" t="s">
        <v>56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3">
      <c r="A100" s="9"/>
      <c r="B100" s="53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3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","311", " - ", "Textbooks")</f>
        <v>Department 311 - Textbooks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50312.259999999995</v>
      </c>
      <c r="E12" s="4"/>
      <c r="F12" s="12"/>
      <c r="G12" s="4"/>
      <c r="H12" s="4">
        <f>SUM(OSRRefH13x_0)</f>
        <v>58063</v>
      </c>
      <c r="I12" s="4"/>
      <c r="J12" s="12"/>
      <c r="K12" s="4"/>
      <c r="L12" s="4">
        <f t="shared" ref="L12:L17" si="0">+D12-H12</f>
        <v>-7750.7400000000052</v>
      </c>
      <c r="M12" s="4"/>
      <c r="N12" s="12">
        <f t="shared" ref="N12:N17" si="1">IF(H12=0,0,L12/H12)</f>
        <v>-0.13348845219847416</v>
      </c>
      <c r="O12" s="10"/>
      <c r="P12" s="4">
        <f>SUM(OSRRefP13x_0)</f>
        <v>1065712.03</v>
      </c>
      <c r="Q12" s="4"/>
      <c r="R12" s="12"/>
      <c r="S12" s="4"/>
      <c r="T12" s="4">
        <f>SUM(OSRRefT13x_0)</f>
        <v>1940553</v>
      </c>
      <c r="U12" s="4"/>
      <c r="V12" s="12"/>
      <c r="W12" s="4"/>
      <c r="X12" s="4">
        <f t="shared" ref="X12:X17" si="2">+P12-T12</f>
        <v>-874840.97</v>
      </c>
      <c r="Y12" s="4"/>
      <c r="Z12" s="12">
        <f t="shared" ref="Z12:Z17" si="3">IF(T12=0,0,X12/T12)</f>
        <v>-0.45082044654281533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--18673.17</f>
        <v>18673.169999999998</v>
      </c>
      <c r="E13" s="2"/>
      <c r="F13" s="19"/>
      <c r="G13" s="2"/>
      <c r="H13" s="2">
        <v>58063</v>
      </c>
      <c r="I13" s="2"/>
      <c r="J13" s="19"/>
      <c r="K13" s="2"/>
      <c r="L13" s="2">
        <f t="shared" si="0"/>
        <v>-39389.83</v>
      </c>
      <c r="M13" s="2"/>
      <c r="N13" s="19">
        <f t="shared" si="1"/>
        <v>-0.67839811928422578</v>
      </c>
      <c r="O13" s="11"/>
      <c r="P13" s="2">
        <f>--794703.49</f>
        <v>794703.49</v>
      </c>
      <c r="Q13" s="2"/>
      <c r="R13" s="19"/>
      <c r="S13" s="2"/>
      <c r="T13" s="2">
        <v>1940553</v>
      </c>
      <c r="U13" s="2"/>
      <c r="V13" s="19"/>
      <c r="W13" s="2"/>
      <c r="X13" s="2">
        <f t="shared" si="2"/>
        <v>-1145849.51</v>
      </c>
      <c r="Y13" s="2"/>
      <c r="Z13" s="19">
        <f t="shared" si="3"/>
        <v>-0.59047576129072488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--33168.32</f>
        <v>33168.32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33168.32</v>
      </c>
      <c r="M14" s="2"/>
      <c r="N14" s="19">
        <f t="shared" si="1"/>
        <v>0</v>
      </c>
      <c r="O14" s="11"/>
      <c r="P14" s="2">
        <f>--327540.23</f>
        <v>327540.23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327540.23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-407.24</f>
        <v>-407.24</v>
      </c>
      <c r="E15" s="2"/>
      <c r="F15" s="19"/>
      <c r="G15" s="2"/>
      <c r="H15" s="2"/>
      <c r="I15" s="2"/>
      <c r="J15" s="19"/>
      <c r="K15" s="2"/>
      <c r="L15" s="2">
        <f t="shared" si="0"/>
        <v>-407.24</v>
      </c>
      <c r="M15" s="2"/>
      <c r="N15" s="19">
        <f t="shared" si="1"/>
        <v>0</v>
      </c>
      <c r="O15" s="11"/>
      <c r="P15" s="2">
        <f>-29393.02</f>
        <v>-29393.02</v>
      </c>
      <c r="Q15" s="2"/>
      <c r="R15" s="19"/>
      <c r="S15" s="2"/>
      <c r="T15" s="2"/>
      <c r="U15" s="2"/>
      <c r="V15" s="19"/>
      <c r="W15" s="2"/>
      <c r="X15" s="2">
        <f t="shared" si="2"/>
        <v>-29393.02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-510.16</f>
        <v>-510.16</v>
      </c>
      <c r="E16" s="2"/>
      <c r="F16" s="19"/>
      <c r="G16" s="2"/>
      <c r="H16" s="2"/>
      <c r="I16" s="2"/>
      <c r="J16" s="19"/>
      <c r="K16" s="2"/>
      <c r="L16" s="2">
        <f t="shared" si="0"/>
        <v>-510.16</v>
      </c>
      <c r="M16" s="2"/>
      <c r="N16" s="19">
        <f t="shared" si="1"/>
        <v>0</v>
      </c>
      <c r="O16" s="11"/>
      <c r="P16" s="2">
        <f>-25903.14</f>
        <v>-25903.14</v>
      </c>
      <c r="Q16" s="2"/>
      <c r="R16" s="19"/>
      <c r="S16" s="2"/>
      <c r="T16" s="2"/>
      <c r="U16" s="2"/>
      <c r="V16" s="19"/>
      <c r="W16" s="2"/>
      <c r="X16" s="2">
        <f t="shared" si="2"/>
        <v>-25903.14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-611.83</f>
        <v>-611.83000000000004</v>
      </c>
      <c r="E17" s="2"/>
      <c r="F17" s="19"/>
      <c r="G17" s="2"/>
      <c r="H17" s="2"/>
      <c r="I17" s="2"/>
      <c r="J17" s="19"/>
      <c r="K17" s="2"/>
      <c r="L17" s="2">
        <f t="shared" si="0"/>
        <v>-611.83000000000004</v>
      </c>
      <c r="M17" s="2"/>
      <c r="N17" s="19">
        <f t="shared" si="1"/>
        <v>0</v>
      </c>
      <c r="O17" s="11"/>
      <c r="P17" s="2">
        <f>-1235.53</f>
        <v>-1235.53</v>
      </c>
      <c r="Q17" s="2"/>
      <c r="R17" s="19"/>
      <c r="S17" s="2"/>
      <c r="T17" s="2"/>
      <c r="U17" s="2"/>
      <c r="V17" s="19"/>
      <c r="W17" s="2"/>
      <c r="X17" s="2">
        <f t="shared" si="2"/>
        <v>-1235.53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41134.559999999998</v>
      </c>
      <c r="E19" s="4"/>
      <c r="F19" s="12">
        <f t="shared" ref="F19:F29" si="4">IF(D$12=0,0,D19/D$12)</f>
        <v>0.81758521680401564</v>
      </c>
      <c r="G19" s="4"/>
      <c r="H19" s="4">
        <f>SUM(OSRRefH16x_0)</f>
        <v>41950</v>
      </c>
      <c r="I19" s="4"/>
      <c r="J19" s="12">
        <f t="shared" ref="J19:J29" si="5">IF(H$12=0,0,H19/H$12)</f>
        <v>0.72249108726727862</v>
      </c>
      <c r="K19" s="4"/>
      <c r="L19" s="4">
        <f t="shared" ref="L19:L29" si="6">+D19-H19</f>
        <v>-815.44000000000233</v>
      </c>
      <c r="M19" s="4"/>
      <c r="N19" s="12">
        <f t="shared" ref="N19:N29" si="7">IF(H19=0,0,L19/H19)</f>
        <v>-1.9438379022646064E-2</v>
      </c>
      <c r="O19" s="10"/>
      <c r="P19" s="4">
        <f>SUM(OSRRefP16x_0)</f>
        <v>889668.7699999999</v>
      </c>
      <c r="Q19" s="4"/>
      <c r="R19" s="12">
        <f t="shared" ref="R19:R29" si="8">IF(P$12=0,0,P19/P$12)</f>
        <v>0.83481160478220362</v>
      </c>
      <c r="S19" s="4"/>
      <c r="T19" s="4">
        <f>SUM(OSRRefT16x_0)</f>
        <v>1402048</v>
      </c>
      <c r="U19" s="4"/>
      <c r="V19" s="12">
        <f t="shared" ref="V19:V29" si="9">IF(T$12=0,0,T19/T$12)</f>
        <v>0.72249920512348798</v>
      </c>
      <c r="W19" s="4"/>
      <c r="X19" s="4">
        <f t="shared" ref="X19:X29" si="10">+P19-T19</f>
        <v>-512379.2300000001</v>
      </c>
      <c r="Y19" s="4"/>
      <c r="Z19" s="12">
        <f t="shared" ref="Z19:Z29" si="11">IF(T19=0,0,X19/T19)</f>
        <v>-0.36545056232026302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65353.7</v>
      </c>
      <c r="E20" s="2"/>
      <c r="F20" s="19">
        <f t="shared" si="4"/>
        <v>1.2989617242397777</v>
      </c>
      <c r="G20" s="2"/>
      <c r="H20" s="2">
        <v>41950</v>
      </c>
      <c r="I20" s="2"/>
      <c r="J20" s="19">
        <f t="shared" si="5"/>
        <v>0.72249108726727862</v>
      </c>
      <c r="K20" s="2"/>
      <c r="L20" s="2">
        <f t="shared" si="6"/>
        <v>23403.699999999997</v>
      </c>
      <c r="M20" s="2"/>
      <c r="N20" s="19">
        <f t="shared" si="7"/>
        <v>0.55789511323003571</v>
      </c>
      <c r="O20" s="11"/>
      <c r="P20" s="2">
        <v>1153238.1299999999</v>
      </c>
      <c r="Q20" s="2"/>
      <c r="R20" s="19">
        <f t="shared" si="8"/>
        <v>1.0821292220938896</v>
      </c>
      <c r="S20" s="2"/>
      <c r="T20" s="2">
        <v>1402048</v>
      </c>
      <c r="U20" s="2"/>
      <c r="V20" s="19">
        <f t="shared" si="9"/>
        <v>0.72249920512348798</v>
      </c>
      <c r="W20" s="2"/>
      <c r="X20" s="2">
        <f t="shared" si="10"/>
        <v>-248809.87000000011</v>
      </c>
      <c r="Y20" s="2"/>
      <c r="Z20" s="19">
        <f t="shared" si="11"/>
        <v>-0.17746173454831796</v>
      </c>
    </row>
    <row r="21" spans="1:26" s="24" customFormat="1" hidden="1" outlineLevel="1" x14ac:dyDescent="0.3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-66175.399999999994</v>
      </c>
      <c r="E24" s="2"/>
      <c r="F24" s="19">
        <f t="shared" si="4"/>
        <v>-1.3152937276123156</v>
      </c>
      <c r="G24" s="2"/>
      <c r="H24" s="2"/>
      <c r="I24" s="2"/>
      <c r="J24" s="19">
        <f t="shared" si="5"/>
        <v>0</v>
      </c>
      <c r="K24" s="2"/>
      <c r="L24" s="2">
        <f t="shared" si="6"/>
        <v>-66175.399999999994</v>
      </c>
      <c r="M24" s="2"/>
      <c r="N24" s="19">
        <f t="shared" si="7"/>
        <v>0</v>
      </c>
      <c r="O24" s="11"/>
      <c r="P24" s="2">
        <v>-1190579.81</v>
      </c>
      <c r="Q24" s="2"/>
      <c r="R24" s="19">
        <f t="shared" si="8"/>
        <v>-1.1171684061781681</v>
      </c>
      <c r="S24" s="2"/>
      <c r="T24" s="2"/>
      <c r="U24" s="2"/>
      <c r="V24" s="19">
        <f t="shared" si="9"/>
        <v>0</v>
      </c>
      <c r="W24" s="2"/>
      <c r="X24" s="2">
        <f t="shared" si="10"/>
        <v>-1190579.81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"5300", " - ", "COG$ OFFSET")</f>
        <v xml:space="preserve">          5300 - COG$ OFFSET</v>
      </c>
      <c r="C25" s="11"/>
      <c r="D25" s="2">
        <v>41134.559999999998</v>
      </c>
      <c r="E25" s="2"/>
      <c r="F25" s="19">
        <f t="shared" si="4"/>
        <v>0.81758521680401564</v>
      </c>
      <c r="G25" s="2"/>
      <c r="H25" s="2"/>
      <c r="I25" s="2"/>
      <c r="J25" s="19">
        <f t="shared" si="5"/>
        <v>0</v>
      </c>
      <c r="K25" s="2"/>
      <c r="L25" s="2">
        <f t="shared" si="6"/>
        <v>41134.559999999998</v>
      </c>
      <c r="M25" s="2"/>
      <c r="N25" s="19">
        <f t="shared" si="7"/>
        <v>0</v>
      </c>
      <c r="O25" s="11"/>
      <c r="P25" s="2">
        <v>889668.77</v>
      </c>
      <c r="Q25" s="2"/>
      <c r="R25" s="19">
        <f t="shared" si="8"/>
        <v>0.83481160478220373</v>
      </c>
      <c r="S25" s="2"/>
      <c r="T25" s="2"/>
      <c r="U25" s="2"/>
      <c r="V25" s="19">
        <f t="shared" si="9"/>
        <v>0</v>
      </c>
      <c r="W25" s="2"/>
      <c r="X25" s="2">
        <f t="shared" si="10"/>
        <v>889668.77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>
        <v>821.7</v>
      </c>
      <c r="E26" s="2"/>
      <c r="F26" s="19">
        <f t="shared" si="4"/>
        <v>1.6332003372537828E-2</v>
      </c>
      <c r="G26" s="2"/>
      <c r="H26" s="2"/>
      <c r="I26" s="2"/>
      <c r="J26" s="19">
        <f t="shared" si="5"/>
        <v>0</v>
      </c>
      <c r="K26" s="2"/>
      <c r="L26" s="2">
        <f t="shared" si="6"/>
        <v>821.7</v>
      </c>
      <c r="M26" s="2"/>
      <c r="N26" s="19">
        <f t="shared" si="7"/>
        <v>0</v>
      </c>
      <c r="O26" s="11"/>
      <c r="P26" s="2">
        <v>37341.68</v>
      </c>
      <c r="Q26" s="2"/>
      <c r="R26" s="19">
        <f t="shared" si="8"/>
        <v>3.5039184084278377E-2</v>
      </c>
      <c r="S26" s="2"/>
      <c r="T26" s="2"/>
      <c r="U26" s="2"/>
      <c r="V26" s="19">
        <f t="shared" si="9"/>
        <v>0</v>
      </c>
      <c r="W26" s="2"/>
      <c r="X26" s="2">
        <f t="shared" si="10"/>
        <v>37341.68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"5501", " - ", "FREIGHT-IN-NEW TEXT")</f>
        <v xml:space="preserve">          5501 - FREIGHT-IN-NEW TEXT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"5502", " - ", "FREIGHT-IN-USED TEXT")</f>
        <v xml:space="preserve">          5502 - FREIGHT-IN-USED TEXT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"5518", " - ", "FREIGHT-IN-STUDY GUIDES")</f>
        <v xml:space="preserve">          5518 - FREIGHT-IN-STUDY GUIDES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0">
        <f>D12-D19</f>
        <v>9177.6999999999971</v>
      </c>
      <c r="E31" s="13"/>
      <c r="F31" s="22">
        <f>IF(D$12=0,0,D31/D$12)</f>
        <v>0.18241478319598439</v>
      </c>
      <c r="G31" s="13"/>
      <c r="H31" s="20">
        <f>H12-H19</f>
        <v>16113</v>
      </c>
      <c r="I31" s="13"/>
      <c r="J31" s="22">
        <f>IF(H$12=0,0,H31/H$12)</f>
        <v>0.27750891273272138</v>
      </c>
      <c r="K31" s="16"/>
      <c r="L31" s="20">
        <f>+D31-H31</f>
        <v>-6935.3000000000029</v>
      </c>
      <c r="M31" s="16"/>
      <c r="N31" s="22">
        <f>IF(H31=0,0,L31/H31)</f>
        <v>-0.43041643393533191</v>
      </c>
      <c r="O31" s="25"/>
      <c r="P31" s="20">
        <f>P12-P19</f>
        <v>176043.26000000013</v>
      </c>
      <c r="Q31" s="13"/>
      <c r="R31" s="22">
        <f>IF(P$12=0,0,P31/P$12)</f>
        <v>0.16518839521779644</v>
      </c>
      <c r="S31" s="13"/>
      <c r="T31" s="20">
        <f>T12-T19</f>
        <v>538505</v>
      </c>
      <c r="U31" s="13"/>
      <c r="V31" s="22">
        <f>IF(T$12=0,0,T31/T$12)</f>
        <v>0.27750079487651202</v>
      </c>
      <c r="W31" s="16"/>
      <c r="X31" s="20">
        <f>+P31-T31</f>
        <v>-362461.73999999987</v>
      </c>
      <c r="Y31" s="16"/>
      <c r="Z31" s="22">
        <f>IF(T31=0,0,X31/T31)</f>
        <v>-0.67308890353849993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1">
        <f>SUM(OSRRefD22x_0)</f>
        <v>46608.87000000001</v>
      </c>
      <c r="E33" s="21"/>
      <c r="F33" s="32">
        <f t="shared" ref="F33:F44" si="12">IF(D$12=0,0,D33/D$12)</f>
        <v>0.92639189732283966</v>
      </c>
      <c r="G33" s="21"/>
      <c r="H33" s="21">
        <f>SUM(OSRRefH22x_0)</f>
        <v>51723.292318989712</v>
      </c>
      <c r="I33" s="21"/>
      <c r="J33" s="32">
        <f t="shared" ref="J33:J44" si="13">IF(H$12=0,0,H33/H$12)</f>
        <v>0.89081329450751279</v>
      </c>
      <c r="K33" s="4"/>
      <c r="L33" s="21">
        <f t="shared" ref="L33:L44" si="14">+D33-H33</f>
        <v>-5114.422318989702</v>
      </c>
      <c r="M33" s="4"/>
      <c r="N33" s="32">
        <f t="shared" ref="N33:N44" si="15">IF(H33=0,0,L33/H33)</f>
        <v>-9.8880448047426225E-2</v>
      </c>
      <c r="O33" s="10"/>
      <c r="P33" s="21">
        <f>SUM(OSRRefP22x_0)</f>
        <v>279517.98</v>
      </c>
      <c r="Q33" s="21"/>
      <c r="R33" s="32">
        <f t="shared" ref="R33:R44" si="16">IF(P$12=0,0,P33/P$12)</f>
        <v>0.26228284201690016</v>
      </c>
      <c r="S33" s="21"/>
      <c r="T33" s="21">
        <f>SUM(OSRRefT22x_0)</f>
        <v>323008.49755343347</v>
      </c>
      <c r="U33" s="21"/>
      <c r="V33" s="32">
        <f t="shared" ref="V33:V44" si="17">IF(T$12=0,0,T33/T$12)</f>
        <v>0.16645177820622961</v>
      </c>
      <c r="W33" s="4"/>
      <c r="X33" s="21">
        <f t="shared" ref="X33:X44" si="18">+P33-T33</f>
        <v>-43490.517553433485</v>
      </c>
      <c r="Y33" s="4"/>
      <c r="Z33" s="32">
        <f t="shared" ref="Z33:Z44" si="19">IF(T33=0,0,X33/T33)</f>
        <v>-0.13464202298962458</v>
      </c>
    </row>
    <row r="34" spans="1:26" s="28" customFormat="1" outlineLevel="1" collapsed="1" x14ac:dyDescent="0.3">
      <c r="A34" s="27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12486.67</v>
      </c>
      <c r="E34" s="1"/>
      <c r="F34" s="5">
        <f t="shared" si="12"/>
        <v>0.24818344475084206</v>
      </c>
      <c r="G34" s="1"/>
      <c r="H34" s="1">
        <f>SUM(OSRRefH22_0x_0)</f>
        <v>13603.008773735914</v>
      </c>
      <c r="I34" s="1"/>
      <c r="J34" s="5">
        <f t="shared" si="13"/>
        <v>0.23428015730733709</v>
      </c>
      <c r="K34" s="1"/>
      <c r="L34" s="1">
        <f t="shared" si="14"/>
        <v>-1116.3387737359135</v>
      </c>
      <c r="M34" s="1"/>
      <c r="N34" s="5">
        <f t="shared" si="15"/>
        <v>-8.2065577719194815E-2</v>
      </c>
      <c r="O34" s="14"/>
      <c r="P34" s="1">
        <f>SUM(OSRRefP22_0x_0)</f>
        <v>76965.06</v>
      </c>
      <c r="Q34" s="1"/>
      <c r="R34" s="5">
        <f t="shared" si="16"/>
        <v>7.2219378062195652E-2</v>
      </c>
      <c r="S34" s="1"/>
      <c r="T34" s="1">
        <f>SUM(OSRRefT22_0x_0)</f>
        <v>87579.654509283486</v>
      </c>
      <c r="U34" s="1"/>
      <c r="V34" s="5">
        <f t="shared" si="17"/>
        <v>4.5131287065740273E-2</v>
      </c>
      <c r="W34" s="1"/>
      <c r="X34" s="1">
        <f t="shared" si="18"/>
        <v>-10614.594509283488</v>
      </c>
      <c r="Y34" s="1"/>
      <c r="Z34" s="5">
        <f t="shared" si="19"/>
        <v>-0.12119931927978017</v>
      </c>
    </row>
    <row r="35" spans="1:26" s="24" customFormat="1" hidden="1" outlineLevel="2" x14ac:dyDescent="0.3">
      <c r="A35" s="29"/>
      <c r="B35" s="11" t="str">
        <f>CONCATENATE("          ", "6111", " - ", "F.I.C.A.")</f>
        <v xml:space="preserve">          6111 - F.I.C.A.</v>
      </c>
      <c r="C35" s="11"/>
      <c r="D35" s="6">
        <v>1933.15</v>
      </c>
      <c r="E35" s="2"/>
      <c r="F35" s="7">
        <f t="shared" si="12"/>
        <v>3.8423040427919559E-2</v>
      </c>
      <c r="G35" s="2"/>
      <c r="H35" s="6">
        <v>1993.53858197977</v>
      </c>
      <c r="I35" s="2"/>
      <c r="J35" s="7">
        <f t="shared" si="13"/>
        <v>3.4334060967910203E-2</v>
      </c>
      <c r="K35" s="2"/>
      <c r="L35" s="6">
        <f t="shared" si="14"/>
        <v>-60.388581979769924</v>
      </c>
      <c r="M35" s="2"/>
      <c r="N35" s="7">
        <f t="shared" si="15"/>
        <v>-3.0292156131635245E-2</v>
      </c>
      <c r="O35" s="11"/>
      <c r="P35" s="6">
        <v>12880.29</v>
      </c>
      <c r="Q35" s="2"/>
      <c r="R35" s="7">
        <f t="shared" si="16"/>
        <v>1.2086088584361762E-2</v>
      </c>
      <c r="S35" s="2"/>
      <c r="T35" s="6">
        <v>13840.850862868499</v>
      </c>
      <c r="U35" s="2"/>
      <c r="V35" s="7">
        <f t="shared" si="17"/>
        <v>7.1324260985752511E-3</v>
      </c>
      <c r="W35" s="2"/>
      <c r="X35" s="6">
        <f t="shared" si="18"/>
        <v>-960.56086286849859</v>
      </c>
      <c r="Y35" s="2"/>
      <c r="Z35" s="7">
        <f t="shared" si="19"/>
        <v>-6.9400419987577525E-2</v>
      </c>
    </row>
    <row r="36" spans="1:26" s="24" customFormat="1" hidden="1" outlineLevel="2" x14ac:dyDescent="0.3">
      <c r="A36" s="29"/>
      <c r="B36" s="11" t="str">
        <f>CONCATENATE("          ", "6112", " - ", "COMPENSATION INSURANCE")</f>
        <v xml:space="preserve">          6112 - COMPENSATION INSURANCE</v>
      </c>
      <c r="C36" s="11"/>
      <c r="D36" s="6">
        <v>354.74</v>
      </c>
      <c r="E36" s="2"/>
      <c r="F36" s="7">
        <f t="shared" si="12"/>
        <v>7.0507665527249231E-3</v>
      </c>
      <c r="G36" s="2"/>
      <c r="H36" s="6">
        <v>484.08535547999998</v>
      </c>
      <c r="I36" s="2"/>
      <c r="J36" s="7">
        <f t="shared" si="13"/>
        <v>8.3372432612851561E-3</v>
      </c>
      <c r="K36" s="2"/>
      <c r="L36" s="6">
        <f t="shared" si="14"/>
        <v>-129.34535547999997</v>
      </c>
      <c r="M36" s="2"/>
      <c r="N36" s="7">
        <f t="shared" si="15"/>
        <v>-0.26719534895193475</v>
      </c>
      <c r="O36" s="11"/>
      <c r="P36" s="6">
        <v>2548.7199999999998</v>
      </c>
      <c r="Q36" s="2"/>
      <c r="R36" s="7">
        <f t="shared" si="16"/>
        <v>2.3915653837556848E-3</v>
      </c>
      <c r="S36" s="2"/>
      <c r="T36" s="6">
        <v>3423.6420106199998</v>
      </c>
      <c r="U36" s="2"/>
      <c r="V36" s="7">
        <f t="shared" si="17"/>
        <v>1.7642610176686747E-3</v>
      </c>
      <c r="W36" s="2"/>
      <c r="X36" s="6">
        <f t="shared" si="18"/>
        <v>-874.92201062000004</v>
      </c>
      <c r="Y36" s="2"/>
      <c r="Z36" s="7">
        <f t="shared" si="19"/>
        <v>-0.2555530069750363</v>
      </c>
    </row>
    <row r="37" spans="1:26" s="24" customFormat="1" hidden="1" outlineLevel="2" x14ac:dyDescent="0.3">
      <c r="A37" s="29"/>
      <c r="B37" s="11" t="str">
        <f>CONCATENATE("          ", "6113", " - ", "GROUP INSURANCE")</f>
        <v xml:space="preserve">          6113 - GROUP INSURANCE</v>
      </c>
      <c r="C37" s="11"/>
      <c r="D37" s="6">
        <v>4593.8599999999997</v>
      </c>
      <c r="E37" s="2"/>
      <c r="F37" s="7">
        <f t="shared" si="12"/>
        <v>9.130696971274993E-2</v>
      </c>
      <c r="G37" s="2"/>
      <c r="H37" s="6">
        <v>5314</v>
      </c>
      <c r="I37" s="2"/>
      <c r="J37" s="7">
        <f t="shared" si="13"/>
        <v>9.1521278611163742E-2</v>
      </c>
      <c r="K37" s="2"/>
      <c r="L37" s="6">
        <f t="shared" si="14"/>
        <v>-720.14000000000033</v>
      </c>
      <c r="M37" s="2"/>
      <c r="N37" s="7">
        <f t="shared" si="15"/>
        <v>-0.13551750094091086</v>
      </c>
      <c r="O37" s="11"/>
      <c r="P37" s="6">
        <v>27619.41</v>
      </c>
      <c r="Q37" s="2"/>
      <c r="R37" s="7">
        <f t="shared" si="16"/>
        <v>2.5916391316329609E-2</v>
      </c>
      <c r="S37" s="2"/>
      <c r="T37" s="6">
        <v>32496</v>
      </c>
      <c r="U37" s="2"/>
      <c r="V37" s="7">
        <f t="shared" si="17"/>
        <v>1.6745742064246633E-2</v>
      </c>
      <c r="W37" s="2"/>
      <c r="X37" s="6">
        <f t="shared" si="18"/>
        <v>-4876.59</v>
      </c>
      <c r="Y37" s="2"/>
      <c r="Z37" s="7">
        <f t="shared" si="19"/>
        <v>-0.1500673929098966</v>
      </c>
    </row>
    <row r="38" spans="1:26" s="24" customFormat="1" hidden="1" outlineLevel="2" x14ac:dyDescent="0.3">
      <c r="A38" s="29"/>
      <c r="B38" s="11" t="str">
        <f>CONCATENATE("          ", "6114", " - ", "STATE UNEMPLOYMENT INSURANCE")</f>
        <v xml:space="preserve">          6114 - STATE UNEMPLOYMENT INSURANCE</v>
      </c>
      <c r="C38" s="11"/>
      <c r="D38" s="6">
        <v>70.459999999999994</v>
      </c>
      <c r="E38" s="2"/>
      <c r="F38" s="7">
        <f t="shared" si="12"/>
        <v>1.4004538853949315E-3</v>
      </c>
      <c r="G38" s="2"/>
      <c r="H38" s="6">
        <v>65.165336314615402</v>
      </c>
      <c r="I38" s="2"/>
      <c r="J38" s="7">
        <f t="shared" si="13"/>
        <v>1.122321208249925E-3</v>
      </c>
      <c r="K38" s="2"/>
      <c r="L38" s="6">
        <f t="shared" si="14"/>
        <v>5.2946636853845916</v>
      </c>
      <c r="M38" s="2"/>
      <c r="N38" s="7">
        <f t="shared" si="15"/>
        <v>8.1249694773647546E-2</v>
      </c>
      <c r="O38" s="11"/>
      <c r="P38" s="6">
        <v>505.55</v>
      </c>
      <c r="Q38" s="2"/>
      <c r="R38" s="7">
        <f t="shared" si="16"/>
        <v>4.7437767968144264E-4</v>
      </c>
      <c r="S38" s="2"/>
      <c r="T38" s="6">
        <v>460.87488604499998</v>
      </c>
      <c r="U38" s="2"/>
      <c r="V38" s="7">
        <f t="shared" si="17"/>
        <v>2.3749667545539853E-4</v>
      </c>
      <c r="W38" s="2"/>
      <c r="X38" s="6">
        <f t="shared" si="18"/>
        <v>44.675113955000029</v>
      </c>
      <c r="Y38" s="2"/>
      <c r="Z38" s="7">
        <f t="shared" si="19"/>
        <v>9.6935448877199043E-2</v>
      </c>
    </row>
    <row r="39" spans="1:26" s="24" customFormat="1" hidden="1" outlineLevel="2" x14ac:dyDescent="0.3">
      <c r="A39" s="29"/>
      <c r="B39" s="11" t="str">
        <f>CONCATENATE("          ", "6115", " - ", "P.E.R.S.")</f>
        <v xml:space="preserve">          6115 - P.E.R.S.</v>
      </c>
      <c r="C39" s="11"/>
      <c r="D39" s="6">
        <v>1671.39</v>
      </c>
      <c r="E39" s="2"/>
      <c r="F39" s="7">
        <f t="shared" si="12"/>
        <v>3.3220332380219063E-2</v>
      </c>
      <c r="G39" s="2"/>
      <c r="H39" s="6">
        <v>1664.68278164615</v>
      </c>
      <c r="I39" s="2"/>
      <c r="J39" s="7">
        <f t="shared" si="13"/>
        <v>2.8670285408024906E-2</v>
      </c>
      <c r="K39" s="2"/>
      <c r="L39" s="6">
        <f t="shared" si="14"/>
        <v>6.7072183538500667</v>
      </c>
      <c r="M39" s="2"/>
      <c r="N39" s="7">
        <f t="shared" si="15"/>
        <v>4.0291270071391733E-3</v>
      </c>
      <c r="O39" s="11"/>
      <c r="P39" s="6">
        <v>10574.73</v>
      </c>
      <c r="Q39" s="2"/>
      <c r="R39" s="7">
        <f t="shared" si="16"/>
        <v>9.9226899033878786E-3</v>
      </c>
      <c r="S39" s="2"/>
      <c r="T39" s="6">
        <v>10820.4380807</v>
      </c>
      <c r="U39" s="2"/>
      <c r="V39" s="7">
        <f t="shared" si="17"/>
        <v>5.5759559675515177E-3</v>
      </c>
      <c r="W39" s="2"/>
      <c r="X39" s="6">
        <f t="shared" si="18"/>
        <v>-245.70808070000021</v>
      </c>
      <c r="Y39" s="2"/>
      <c r="Z39" s="7">
        <f t="shared" si="19"/>
        <v>-2.2707775680382136E-2</v>
      </c>
    </row>
    <row r="40" spans="1:26" s="24" customFormat="1" hidden="1" outlineLevel="2" x14ac:dyDescent="0.3">
      <c r="A40" s="29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"6117", " - ", "RETIREMENT STAFF HOURLY")</f>
        <v xml:space="preserve">          6117 - RETIREMENT STAFF HOURLY</v>
      </c>
      <c r="C41" s="11"/>
      <c r="D41" s="6">
        <v>285.08999999999997</v>
      </c>
      <c r="E41" s="2"/>
      <c r="F41" s="7">
        <f t="shared" si="12"/>
        <v>5.6664121230093822E-3</v>
      </c>
      <c r="G41" s="2"/>
      <c r="H41" s="6"/>
      <c r="I41" s="2"/>
      <c r="J41" s="7">
        <f t="shared" si="13"/>
        <v>0</v>
      </c>
      <c r="K41" s="2"/>
      <c r="L41" s="6">
        <f t="shared" si="14"/>
        <v>285.08999999999997</v>
      </c>
      <c r="M41" s="2"/>
      <c r="N41" s="7">
        <f t="shared" si="15"/>
        <v>0</v>
      </c>
      <c r="O41" s="11"/>
      <c r="P41" s="6">
        <v>1807.95</v>
      </c>
      <c r="Q41" s="2"/>
      <c r="R41" s="7">
        <f t="shared" si="16"/>
        <v>1.6964714192069315E-3</v>
      </c>
      <c r="S41" s="2"/>
      <c r="T41" s="6"/>
      <c r="U41" s="2"/>
      <c r="V41" s="7">
        <f t="shared" si="17"/>
        <v>0</v>
      </c>
      <c r="W41" s="2"/>
      <c r="X41" s="6">
        <f t="shared" si="18"/>
        <v>1807.95</v>
      </c>
      <c r="Y41" s="2"/>
      <c r="Z41" s="7">
        <f t="shared" si="19"/>
        <v>0</v>
      </c>
    </row>
    <row r="42" spans="1:26" s="24" customFormat="1" hidden="1" outlineLevel="2" x14ac:dyDescent="0.3">
      <c r="A42" s="29"/>
      <c r="B42" s="11" t="str">
        <f>CONCATENATE("          ", "6118", " - ", "VACATION")</f>
        <v xml:space="preserve">          6118 - VACATION</v>
      </c>
      <c r="C42" s="11"/>
      <c r="D42" s="6">
        <v>1532.44</v>
      </c>
      <c r="E42" s="2"/>
      <c r="F42" s="7">
        <f t="shared" si="12"/>
        <v>3.0458580075711172E-2</v>
      </c>
      <c r="G42" s="2"/>
      <c r="H42" s="6">
        <v>1689.1935418999999</v>
      </c>
      <c r="I42" s="2"/>
      <c r="J42" s="7">
        <f t="shared" si="13"/>
        <v>2.9092426190517193E-2</v>
      </c>
      <c r="K42" s="2"/>
      <c r="L42" s="6">
        <f t="shared" si="14"/>
        <v>-156.75354189999985</v>
      </c>
      <c r="M42" s="2"/>
      <c r="N42" s="7">
        <f t="shared" si="15"/>
        <v>-9.2797857682834814E-2</v>
      </c>
      <c r="O42" s="11"/>
      <c r="P42" s="6">
        <v>9233.68</v>
      </c>
      <c r="Q42" s="2"/>
      <c r="R42" s="7">
        <f t="shared" si="16"/>
        <v>8.664329331067042E-3</v>
      </c>
      <c r="S42" s="2"/>
      <c r="T42" s="6">
        <v>10979.758022350001</v>
      </c>
      <c r="U42" s="2"/>
      <c r="V42" s="7">
        <f t="shared" si="17"/>
        <v>5.6580562460030728E-3</v>
      </c>
      <c r="W42" s="2"/>
      <c r="X42" s="6">
        <f t="shared" si="18"/>
        <v>-1746.0780223500005</v>
      </c>
      <c r="Y42" s="2"/>
      <c r="Z42" s="7">
        <f t="shared" si="19"/>
        <v>-0.15902700394632985</v>
      </c>
    </row>
    <row r="43" spans="1:26" s="24" customFormat="1" hidden="1" outlineLevel="2" x14ac:dyDescent="0.3">
      <c r="A43" s="29"/>
      <c r="B43" s="11" t="str">
        <f>CONCATENATE("          ", "6119", " - ", "SICK LEAVE")</f>
        <v xml:space="preserve">          6119 - SICK LEAVE</v>
      </c>
      <c r="C43" s="11"/>
      <c r="D43" s="6">
        <v>1114.74</v>
      </c>
      <c r="E43" s="2"/>
      <c r="F43" s="7">
        <f t="shared" si="12"/>
        <v>2.2156428671659754E-2</v>
      </c>
      <c r="G43" s="2"/>
      <c r="H43" s="6">
        <v>1342.34317641538</v>
      </c>
      <c r="I43" s="2"/>
      <c r="J43" s="7">
        <f t="shared" si="13"/>
        <v>2.3118736138597384E-2</v>
      </c>
      <c r="K43" s="2"/>
      <c r="L43" s="6">
        <f t="shared" si="14"/>
        <v>-227.60317641537995</v>
      </c>
      <c r="M43" s="2"/>
      <c r="N43" s="7">
        <f t="shared" si="15"/>
        <v>-0.16955662338387714</v>
      </c>
      <c r="O43" s="11"/>
      <c r="P43" s="6">
        <v>7053.02</v>
      </c>
      <c r="Q43" s="2"/>
      <c r="R43" s="7">
        <f t="shared" si="16"/>
        <v>6.6181292895792871E-3</v>
      </c>
      <c r="S43" s="2"/>
      <c r="T43" s="6">
        <v>9258.0906466999804</v>
      </c>
      <c r="U43" s="2"/>
      <c r="V43" s="7">
        <f t="shared" si="17"/>
        <v>4.7708517348920539E-3</v>
      </c>
      <c r="W43" s="2"/>
      <c r="X43" s="6">
        <f t="shared" si="18"/>
        <v>-2205.07064669998</v>
      </c>
      <c r="Y43" s="2"/>
      <c r="Z43" s="7">
        <f t="shared" si="19"/>
        <v>-0.23817769028714048</v>
      </c>
    </row>
    <row r="44" spans="1:26" s="24" customFormat="1" hidden="1" outlineLevel="2" x14ac:dyDescent="0.3">
      <c r="A44" s="29"/>
      <c r="B44" s="11" t="str">
        <f>CONCATENATE("          ", "6156", " - ", "EMPLOYEE MEALS")</f>
        <v xml:space="preserve">          6156 - EMPLOYEE MEALS</v>
      </c>
      <c r="C44" s="11"/>
      <c r="D44" s="6">
        <v>930.8</v>
      </c>
      <c r="E44" s="2"/>
      <c r="F44" s="7">
        <f t="shared" si="12"/>
        <v>1.8500460921453341E-2</v>
      </c>
      <c r="G44" s="2"/>
      <c r="H44" s="6">
        <v>1050</v>
      </c>
      <c r="I44" s="2"/>
      <c r="J44" s="7">
        <f t="shared" si="13"/>
        <v>1.8083805521588621E-2</v>
      </c>
      <c r="K44" s="2"/>
      <c r="L44" s="6">
        <f t="shared" si="14"/>
        <v>-119.20000000000005</v>
      </c>
      <c r="M44" s="2"/>
      <c r="N44" s="7">
        <f t="shared" si="15"/>
        <v>-0.11352380952380957</v>
      </c>
      <c r="O44" s="11"/>
      <c r="P44" s="6">
        <v>4741.71</v>
      </c>
      <c r="Q44" s="2"/>
      <c r="R44" s="7">
        <f t="shared" si="16"/>
        <v>4.4493351548260179E-3</v>
      </c>
      <c r="S44" s="2"/>
      <c r="T44" s="6">
        <v>6300</v>
      </c>
      <c r="U44" s="2"/>
      <c r="V44" s="7">
        <f t="shared" si="17"/>
        <v>3.2464972613476676E-3</v>
      </c>
      <c r="W44" s="2"/>
      <c r="X44" s="6">
        <f t="shared" si="18"/>
        <v>-1558.29</v>
      </c>
      <c r="Y44" s="2"/>
      <c r="Z44" s="7">
        <f t="shared" si="19"/>
        <v>-0.24734761904761904</v>
      </c>
    </row>
    <row r="45" spans="1:26" s="28" customFormat="1" outlineLevel="1" collapsed="1" x14ac:dyDescent="0.3">
      <c r="A45" s="27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25995.670000000002</v>
      </c>
      <c r="E45" s="1"/>
      <c r="F45" s="5">
        <f t="shared" ref="F45:F55" si="20">IF(D$12=0,0,D45/D$12)</f>
        <v>0.51668658891490871</v>
      </c>
      <c r="G45" s="1"/>
      <c r="H45" s="1">
        <f>SUM(OSRRefH22_1x_0)</f>
        <v>28540.283545253802</v>
      </c>
      <c r="I45" s="1"/>
      <c r="J45" s="5">
        <f t="shared" ref="J45:J55" si="21">IF(H$12=0,0,H45/H$12)</f>
        <v>0.49153994015558622</v>
      </c>
      <c r="K45" s="1"/>
      <c r="L45" s="1">
        <f t="shared" ref="L45:L55" si="22">+D45-H45</f>
        <v>-2544.6135452538001</v>
      </c>
      <c r="M45" s="1"/>
      <c r="N45" s="5">
        <f t="shared" ref="N45:N55" si="23">IF(H45=0,0,L45/H45)</f>
        <v>-8.9158663796000195E-2</v>
      </c>
      <c r="O45" s="14"/>
      <c r="P45" s="1">
        <f>SUM(OSRRefP22_1x_0)</f>
        <v>175181.91</v>
      </c>
      <c r="Q45" s="1"/>
      <c r="R45" s="5">
        <f t="shared" ref="R45:R55" si="24">IF(P$12=0,0,P45/P$12)</f>
        <v>0.16438015624164437</v>
      </c>
      <c r="S45" s="1"/>
      <c r="T45" s="1">
        <f>SUM(OSRRefT22_1x_0)</f>
        <v>203273.84304414998</v>
      </c>
      <c r="U45" s="1"/>
      <c r="V45" s="5">
        <f t="shared" ref="V45:V55" si="25">IF(T$12=0,0,T45/T$12)</f>
        <v>0.10475047218197596</v>
      </c>
      <c r="W45" s="1"/>
      <c r="X45" s="1">
        <f t="shared" ref="X45:X55" si="26">+P45-T45</f>
        <v>-28091.933044149977</v>
      </c>
      <c r="Y45" s="1"/>
      <c r="Z45" s="5">
        <f t="shared" ref="Z45:Z55" si="27">IF(T45=0,0,X45/T45)</f>
        <v>-0.13819748091272402</v>
      </c>
    </row>
    <row r="46" spans="1:26" s="24" customFormat="1" hidden="1" outlineLevel="2" x14ac:dyDescent="0.3">
      <c r="A46" s="29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"6002", " - ", "STAFF SALARIES")</f>
        <v xml:space="preserve">          6002 - STAFF SALARIES</v>
      </c>
      <c r="C47" s="11"/>
      <c r="D47" s="6">
        <v>16929.34</v>
      </c>
      <c r="E47" s="2"/>
      <c r="F47" s="7">
        <f t="shared" si="20"/>
        <v>0.33648538149548446</v>
      </c>
      <c r="G47" s="2"/>
      <c r="H47" s="6">
        <v>17293.700777253802</v>
      </c>
      <c r="I47" s="2"/>
      <c r="J47" s="7">
        <f t="shared" si="21"/>
        <v>0.29784373486133686</v>
      </c>
      <c r="K47" s="2"/>
      <c r="L47" s="6">
        <f t="shared" si="22"/>
        <v>-364.36077725380164</v>
      </c>
      <c r="M47" s="2"/>
      <c r="N47" s="7">
        <f t="shared" si="23"/>
        <v>-2.1068988179386162E-2</v>
      </c>
      <c r="O47" s="11"/>
      <c r="P47" s="6">
        <v>102208.5</v>
      </c>
      <c r="Q47" s="2"/>
      <c r="R47" s="7">
        <f t="shared" si="24"/>
        <v>9.5906302193098064E-2</v>
      </c>
      <c r="S47" s="2"/>
      <c r="T47" s="6">
        <v>112409.05505215</v>
      </c>
      <c r="U47" s="2"/>
      <c r="V47" s="7">
        <f t="shared" si="25"/>
        <v>5.7926299901187958E-2</v>
      </c>
      <c r="W47" s="2"/>
      <c r="X47" s="6">
        <f t="shared" si="26"/>
        <v>-10200.555052149997</v>
      </c>
      <c r="Y47" s="2"/>
      <c r="Z47" s="7">
        <f t="shared" si="27"/>
        <v>-9.0744958646059679E-2</v>
      </c>
    </row>
    <row r="48" spans="1:26" s="24" customFormat="1" hidden="1" outlineLevel="2" x14ac:dyDescent="0.3">
      <c r="A48" s="29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9"/>
      <c r="B49" s="11" t="str">
        <f>CONCATENATE("          ", "6004", " - ", "STAFF HOURLY")</f>
        <v xml:space="preserve">          6004 - STAFF HOURLY</v>
      </c>
      <c r="C49" s="11"/>
      <c r="D49" s="6">
        <v>5854.93</v>
      </c>
      <c r="E49" s="2"/>
      <c r="F49" s="7">
        <f t="shared" si="20"/>
        <v>0.11637183461844093</v>
      </c>
      <c r="G49" s="2"/>
      <c r="H49" s="6">
        <v>5928.5827680000002</v>
      </c>
      <c r="I49" s="2"/>
      <c r="J49" s="7">
        <f t="shared" si="21"/>
        <v>0.10210603599538433</v>
      </c>
      <c r="K49" s="2"/>
      <c r="L49" s="6">
        <f t="shared" si="22"/>
        <v>-73.652767999999924</v>
      </c>
      <c r="M49" s="2"/>
      <c r="N49" s="7">
        <f t="shared" si="23"/>
        <v>-1.2423334696033364E-2</v>
      </c>
      <c r="O49" s="11"/>
      <c r="P49" s="6">
        <v>35563.129999999997</v>
      </c>
      <c r="Q49" s="2"/>
      <c r="R49" s="7">
        <f t="shared" si="24"/>
        <v>3.3370299854830386E-2</v>
      </c>
      <c r="S49" s="2"/>
      <c r="T49" s="6">
        <v>38535.787991999998</v>
      </c>
      <c r="U49" s="2"/>
      <c r="V49" s="7">
        <f t="shared" si="25"/>
        <v>1.9858147647603543E-2</v>
      </c>
      <c r="W49" s="2"/>
      <c r="X49" s="6">
        <f t="shared" si="26"/>
        <v>-2972.6579920000004</v>
      </c>
      <c r="Y49" s="2"/>
      <c r="Z49" s="7">
        <f t="shared" si="27"/>
        <v>-7.7140189597709075E-2</v>
      </c>
    </row>
    <row r="50" spans="1:26" s="24" customFormat="1" hidden="1" outlineLevel="2" x14ac:dyDescent="0.3">
      <c r="A50" s="29"/>
      <c r="B50" s="11" t="str">
        <f>CONCATENATE("          ", "6005", " - ", "TEMPORARY WAGES-HOURLY")</f>
        <v xml:space="preserve">          6005 - TEMPORARY WAGES-HOURLY</v>
      </c>
      <c r="C50" s="11"/>
      <c r="D50" s="6">
        <v>2090.66</v>
      </c>
      <c r="E50" s="2"/>
      <c r="F50" s="7">
        <f t="shared" si="20"/>
        <v>4.15536889020688E-2</v>
      </c>
      <c r="G50" s="2"/>
      <c r="H50" s="6">
        <v>4198</v>
      </c>
      <c r="I50" s="2"/>
      <c r="J50" s="7">
        <f t="shared" si="21"/>
        <v>7.2300776742503833E-2</v>
      </c>
      <c r="K50" s="2"/>
      <c r="L50" s="6">
        <f t="shared" si="22"/>
        <v>-2107.34</v>
      </c>
      <c r="M50" s="2"/>
      <c r="N50" s="7">
        <f t="shared" si="23"/>
        <v>-0.50198666031443551</v>
      </c>
      <c r="O50" s="11"/>
      <c r="P50" s="6">
        <v>14698.31</v>
      </c>
      <c r="Q50" s="2"/>
      <c r="R50" s="7">
        <f t="shared" si="24"/>
        <v>1.3792009085231026E-2</v>
      </c>
      <c r="S50" s="2"/>
      <c r="T50" s="6">
        <v>22369</v>
      </c>
      <c r="U50" s="2"/>
      <c r="V50" s="7">
        <f t="shared" si="25"/>
        <v>1.1527126545886663E-2</v>
      </c>
      <c r="W50" s="2"/>
      <c r="X50" s="6">
        <f t="shared" si="26"/>
        <v>-7670.6900000000005</v>
      </c>
      <c r="Y50" s="2"/>
      <c r="Z50" s="7">
        <f t="shared" si="27"/>
        <v>-0.34291608923063172</v>
      </c>
    </row>
    <row r="51" spans="1:26" s="24" customFormat="1" hidden="1" outlineLevel="2" x14ac:dyDescent="0.3">
      <c r="A51" s="29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9"/>
      <c r="B52" s="11" t="str">
        <f>CONCATENATE("          ", "6007", " - ", "STUDENT HOURLY")</f>
        <v xml:space="preserve">          6007 - STUDENT HOURLY</v>
      </c>
      <c r="C52" s="11"/>
      <c r="D52" s="6">
        <v>1120.74</v>
      </c>
      <c r="E52" s="2"/>
      <c r="F52" s="7">
        <f t="shared" si="20"/>
        <v>2.2275683898914503E-2</v>
      </c>
      <c r="G52" s="2"/>
      <c r="H52" s="6">
        <v>336</v>
      </c>
      <c r="I52" s="2"/>
      <c r="J52" s="7">
        <f t="shared" si="21"/>
        <v>5.7868177669083585E-3</v>
      </c>
      <c r="K52" s="2"/>
      <c r="L52" s="6">
        <f t="shared" si="22"/>
        <v>784.74</v>
      </c>
      <c r="M52" s="2"/>
      <c r="N52" s="7">
        <f t="shared" si="23"/>
        <v>2.3355357142857143</v>
      </c>
      <c r="O52" s="11"/>
      <c r="P52" s="6">
        <v>18745.490000000002</v>
      </c>
      <c r="Q52" s="2"/>
      <c r="R52" s="7">
        <f t="shared" si="24"/>
        <v>1.7589639107292429E-2</v>
      </c>
      <c r="S52" s="2"/>
      <c r="T52" s="6">
        <v>13720</v>
      </c>
      <c r="U52" s="2"/>
      <c r="V52" s="7">
        <f t="shared" si="25"/>
        <v>7.0701495913793643E-3</v>
      </c>
      <c r="W52" s="2"/>
      <c r="X52" s="6">
        <f t="shared" si="26"/>
        <v>5025.4900000000016</v>
      </c>
      <c r="Y52" s="2"/>
      <c r="Z52" s="7">
        <f t="shared" si="27"/>
        <v>0.3662893586005832</v>
      </c>
    </row>
    <row r="53" spans="1:26" s="24" customFormat="1" hidden="1" outlineLevel="2" x14ac:dyDescent="0.3">
      <c r="A53" s="29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0"/>
        <v>0</v>
      </c>
      <c r="G53" s="2"/>
      <c r="H53" s="6">
        <v>784</v>
      </c>
      <c r="I53" s="2"/>
      <c r="J53" s="7">
        <f t="shared" si="21"/>
        <v>1.3502574789452836E-2</v>
      </c>
      <c r="K53" s="2"/>
      <c r="L53" s="6">
        <f t="shared" si="22"/>
        <v>-784</v>
      </c>
      <c r="M53" s="2"/>
      <c r="N53" s="7">
        <f t="shared" si="23"/>
        <v>-1</v>
      </c>
      <c r="O53" s="11"/>
      <c r="P53" s="6">
        <v>3966.48</v>
      </c>
      <c r="Q53" s="2"/>
      <c r="R53" s="7">
        <f t="shared" si="24"/>
        <v>3.7219060011924607E-3</v>
      </c>
      <c r="S53" s="2"/>
      <c r="T53" s="6">
        <v>16240</v>
      </c>
      <c r="U53" s="2"/>
      <c r="V53" s="7">
        <f t="shared" si="25"/>
        <v>8.3687484959184318E-3</v>
      </c>
      <c r="W53" s="2"/>
      <c r="X53" s="6">
        <f t="shared" si="26"/>
        <v>-12273.52</v>
      </c>
      <c r="Y53" s="2"/>
      <c r="Z53" s="7">
        <f t="shared" si="27"/>
        <v>-0.75575862068965516</v>
      </c>
    </row>
    <row r="54" spans="1:26" s="24" customFormat="1" hidden="1" outlineLevel="2" x14ac:dyDescent="0.3">
      <c r="A54" s="29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9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8" customFormat="1" outlineLevel="1" collapsed="1" x14ac:dyDescent="0.3">
      <c r="A56" s="27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563.54</v>
      </c>
      <c r="E56" s="1"/>
      <c r="F56" s="5">
        <f t="shared" ref="F56:F71" si="28">IF(D$12=0,0,D56/D$12)</f>
        <v>1.1200848461190176E-2</v>
      </c>
      <c r="G56" s="1"/>
      <c r="H56" s="1">
        <f>SUM(OSRRefH22_2x_0)</f>
        <v>200</v>
      </c>
      <c r="I56" s="1"/>
      <c r="J56" s="5">
        <f t="shared" ref="J56:J71" si="29">IF(H$12=0,0,H56/H$12)</f>
        <v>3.4445343850644989E-3</v>
      </c>
      <c r="K56" s="1"/>
      <c r="L56" s="1">
        <f t="shared" ref="L56:L71" si="30">+D56-H56</f>
        <v>363.53999999999996</v>
      </c>
      <c r="M56" s="1"/>
      <c r="N56" s="5">
        <f t="shared" ref="N56:N71" si="31">IF(H56=0,0,L56/H56)</f>
        <v>1.8176999999999999</v>
      </c>
      <c r="O56" s="14"/>
      <c r="P56" s="1">
        <f>SUM(OSRRefP22_2x_0)</f>
        <v>797.25</v>
      </c>
      <c r="Q56" s="1"/>
      <c r="R56" s="5">
        <f t="shared" ref="R56:R71" si="32">IF(P$12=0,0,P56/P$12)</f>
        <v>7.480913957591339E-4</v>
      </c>
      <c r="S56" s="1"/>
      <c r="T56" s="1">
        <f>SUM(OSRRefT22_2x_0)</f>
        <v>2300</v>
      </c>
      <c r="U56" s="1"/>
      <c r="V56" s="5">
        <f t="shared" ref="V56:V71" si="33">IF(T$12=0,0,T56/T$12)</f>
        <v>1.1852291589047039E-3</v>
      </c>
      <c r="W56" s="1"/>
      <c r="X56" s="1">
        <f t="shared" ref="X56:X71" si="34">+P56-T56</f>
        <v>-1502.75</v>
      </c>
      <c r="Y56" s="1"/>
      <c r="Z56" s="5">
        <f t="shared" ref="Z56:Z71" si="35">IF(T56=0,0,X56/T56)</f>
        <v>-0.65336956521739131</v>
      </c>
    </row>
    <row r="57" spans="1:26" s="24" customFormat="1" hidden="1" outlineLevel="2" x14ac:dyDescent="0.3">
      <c r="A57" s="29"/>
      <c r="B57" s="11" t="str">
        <f>CONCATENATE("          ", "6362", " - ", "ADVERTISING EXPENSE")</f>
        <v xml:space="preserve">          6362 - ADVERTISING EXPENSE</v>
      </c>
      <c r="C57" s="11"/>
      <c r="D57" s="6">
        <v>563.54</v>
      </c>
      <c r="E57" s="2"/>
      <c r="F57" s="7">
        <f t="shared" si="28"/>
        <v>1.1200848461190176E-2</v>
      </c>
      <c r="G57" s="2"/>
      <c r="H57" s="6">
        <v>200</v>
      </c>
      <c r="I57" s="2"/>
      <c r="J57" s="7">
        <f t="shared" si="29"/>
        <v>3.4445343850644989E-3</v>
      </c>
      <c r="K57" s="2"/>
      <c r="L57" s="6">
        <f t="shared" si="30"/>
        <v>363.53999999999996</v>
      </c>
      <c r="M57" s="2"/>
      <c r="N57" s="7">
        <f t="shared" si="31"/>
        <v>1.8176999999999999</v>
      </c>
      <c r="O57" s="11"/>
      <c r="P57" s="6">
        <v>797.25</v>
      </c>
      <c r="Q57" s="2"/>
      <c r="R57" s="7">
        <f t="shared" si="32"/>
        <v>7.480913957591339E-4</v>
      </c>
      <c r="S57" s="2"/>
      <c r="T57" s="6">
        <v>2300</v>
      </c>
      <c r="U57" s="2"/>
      <c r="V57" s="7">
        <f t="shared" si="33"/>
        <v>1.1852291589047039E-3</v>
      </c>
      <c r="W57" s="2"/>
      <c r="X57" s="6">
        <f t="shared" si="34"/>
        <v>-1502.75</v>
      </c>
      <c r="Y57" s="2"/>
      <c r="Z57" s="7">
        <f t="shared" si="35"/>
        <v>-0.65336956521739131</v>
      </c>
    </row>
    <row r="58" spans="1:26" s="28" customFormat="1" outlineLevel="1" collapsed="1" x14ac:dyDescent="0.3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SUM(OSRRefD22_3x_0)</f>
        <v>0</v>
      </c>
      <c r="E58" s="1"/>
      <c r="F58" s="5">
        <f t="shared" si="28"/>
        <v>0</v>
      </c>
      <c r="G58" s="1"/>
      <c r="H58" s="1">
        <f>SUM(OSRRefH22_3x_0)</f>
        <v>50</v>
      </c>
      <c r="I58" s="1"/>
      <c r="J58" s="5">
        <f t="shared" si="29"/>
        <v>8.6113359626612473E-4</v>
      </c>
      <c r="K58" s="1"/>
      <c r="L58" s="1">
        <f t="shared" si="30"/>
        <v>-50</v>
      </c>
      <c r="M58" s="1"/>
      <c r="N58" s="5">
        <f t="shared" si="31"/>
        <v>-1</v>
      </c>
      <c r="O58" s="14"/>
      <c r="P58" s="1">
        <f>SUM(OSRRefP22_3x_0)</f>
        <v>0</v>
      </c>
      <c r="Q58" s="1"/>
      <c r="R58" s="5">
        <f t="shared" si="32"/>
        <v>0</v>
      </c>
      <c r="S58" s="1"/>
      <c r="T58" s="1">
        <f>SUM(OSRRefT22_3x_0)</f>
        <v>300</v>
      </c>
      <c r="U58" s="1"/>
      <c r="V58" s="5">
        <f t="shared" si="33"/>
        <v>1.5459510768322225E-4</v>
      </c>
      <c r="W58" s="1"/>
      <c r="X58" s="1">
        <f t="shared" si="34"/>
        <v>-300</v>
      </c>
      <c r="Y58" s="1"/>
      <c r="Z58" s="5">
        <f t="shared" si="35"/>
        <v>-1</v>
      </c>
    </row>
    <row r="59" spans="1:26" s="24" customFormat="1" hidden="1" outlineLevel="2" x14ac:dyDescent="0.3">
      <c r="A59" s="29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50</v>
      </c>
      <c r="I59" s="2"/>
      <c r="J59" s="7">
        <f t="shared" si="29"/>
        <v>8.6113359626612473E-4</v>
      </c>
      <c r="K59" s="2"/>
      <c r="L59" s="6">
        <f t="shared" si="30"/>
        <v>-50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300</v>
      </c>
      <c r="U59" s="2"/>
      <c r="V59" s="7">
        <f t="shared" si="33"/>
        <v>1.5459510768322225E-4</v>
      </c>
      <c r="W59" s="2"/>
      <c r="X59" s="6">
        <f t="shared" si="34"/>
        <v>-300</v>
      </c>
      <c r="Y59" s="2"/>
      <c r="Z59" s="7">
        <f t="shared" si="35"/>
        <v>-1</v>
      </c>
    </row>
    <row r="60" spans="1:26" s="28" customFormat="1" outlineLevel="1" collapsed="1" x14ac:dyDescent="0.3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SUM(OSRRefD22_4x_0)</f>
        <v>91.26</v>
      </c>
      <c r="E60" s="1"/>
      <c r="F60" s="5">
        <f t="shared" si="28"/>
        <v>1.8138720065447272E-3</v>
      </c>
      <c r="G60" s="1"/>
      <c r="H60" s="1">
        <f>SUM(OSRRefH22_4x_0)</f>
        <v>100</v>
      </c>
      <c r="I60" s="1"/>
      <c r="J60" s="5">
        <f t="shared" si="29"/>
        <v>1.7222671925322495E-3</v>
      </c>
      <c r="K60" s="1"/>
      <c r="L60" s="1">
        <f t="shared" si="30"/>
        <v>-8.7399999999999949</v>
      </c>
      <c r="M60" s="1"/>
      <c r="N60" s="5">
        <f t="shared" si="31"/>
        <v>-8.739999999999995E-2</v>
      </c>
      <c r="O60" s="14"/>
      <c r="P60" s="1">
        <f>SUM(OSRRefP22_4x_0)</f>
        <v>547.55999999999995</v>
      </c>
      <c r="Q60" s="1"/>
      <c r="R60" s="5">
        <f t="shared" si="32"/>
        <v>5.1379733416352625E-4</v>
      </c>
      <c r="S60" s="1"/>
      <c r="T60" s="1">
        <f>SUM(OSRRefT22_4x_0)</f>
        <v>600</v>
      </c>
      <c r="U60" s="1"/>
      <c r="V60" s="5">
        <f t="shared" si="33"/>
        <v>3.091902153664445E-4</v>
      </c>
      <c r="W60" s="1"/>
      <c r="X60" s="1">
        <f t="shared" si="34"/>
        <v>-52.440000000000055</v>
      </c>
      <c r="Y60" s="1"/>
      <c r="Z60" s="5">
        <f t="shared" si="35"/>
        <v>-8.7400000000000089E-2</v>
      </c>
    </row>
    <row r="61" spans="1:26" s="24" customFormat="1" hidden="1" outlineLevel="2" x14ac:dyDescent="0.3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91.26</v>
      </c>
      <c r="E61" s="2"/>
      <c r="F61" s="7">
        <f t="shared" si="28"/>
        <v>1.8138720065447272E-3</v>
      </c>
      <c r="G61" s="2"/>
      <c r="H61" s="6">
        <v>100</v>
      </c>
      <c r="I61" s="2"/>
      <c r="J61" s="7">
        <f t="shared" si="29"/>
        <v>1.7222671925322495E-3</v>
      </c>
      <c r="K61" s="2"/>
      <c r="L61" s="6">
        <f t="shared" si="30"/>
        <v>-8.7399999999999949</v>
      </c>
      <c r="M61" s="2"/>
      <c r="N61" s="7">
        <f t="shared" si="31"/>
        <v>-8.739999999999995E-2</v>
      </c>
      <c r="O61" s="11"/>
      <c r="P61" s="6">
        <v>547.55999999999995</v>
      </c>
      <c r="Q61" s="2"/>
      <c r="R61" s="7">
        <f t="shared" si="32"/>
        <v>5.1379733416352625E-4</v>
      </c>
      <c r="S61" s="2"/>
      <c r="T61" s="6">
        <v>600</v>
      </c>
      <c r="U61" s="2"/>
      <c r="V61" s="7">
        <f t="shared" si="33"/>
        <v>3.091902153664445E-4</v>
      </c>
      <c r="W61" s="2"/>
      <c r="X61" s="6">
        <f t="shared" si="34"/>
        <v>-52.440000000000055</v>
      </c>
      <c r="Y61" s="2"/>
      <c r="Z61" s="7">
        <f t="shared" si="35"/>
        <v>-8.7400000000000089E-2</v>
      </c>
    </row>
    <row r="62" spans="1:26" s="28" customFormat="1" outlineLevel="1" collapsed="1" x14ac:dyDescent="0.3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1977.93</v>
      </c>
      <c r="E62" s="1"/>
      <c r="F62" s="5">
        <f t="shared" si="28"/>
        <v>3.9313081940664171E-2</v>
      </c>
      <c r="G62" s="1"/>
      <c r="H62" s="1">
        <f>SUM(OSRRefH22_5x_0)</f>
        <v>1500</v>
      </c>
      <c r="I62" s="1"/>
      <c r="J62" s="5">
        <f t="shared" si="29"/>
        <v>2.5834007887983741E-2</v>
      </c>
      <c r="K62" s="1"/>
      <c r="L62" s="1">
        <f t="shared" si="30"/>
        <v>477.93000000000006</v>
      </c>
      <c r="M62" s="1"/>
      <c r="N62" s="5">
        <f t="shared" si="31"/>
        <v>0.31862000000000007</v>
      </c>
      <c r="O62" s="14"/>
      <c r="P62" s="1">
        <f>SUM(OSRRefP22_5x_0)</f>
        <v>4490.78</v>
      </c>
      <c r="Q62" s="1"/>
      <c r="R62" s="5">
        <f t="shared" si="32"/>
        <v>4.213877551893638E-3</v>
      </c>
      <c r="S62" s="1"/>
      <c r="T62" s="1">
        <f>SUM(OSRRefT22_5x_0)</f>
        <v>7900</v>
      </c>
      <c r="U62" s="1"/>
      <c r="V62" s="5">
        <f t="shared" si="33"/>
        <v>4.0710045023248532E-3</v>
      </c>
      <c r="W62" s="1"/>
      <c r="X62" s="1">
        <f t="shared" si="34"/>
        <v>-3409.2200000000003</v>
      </c>
      <c r="Y62" s="1"/>
      <c r="Z62" s="5">
        <f t="shared" si="35"/>
        <v>-0.43154683544303801</v>
      </c>
    </row>
    <row r="63" spans="1:26" s="24" customFormat="1" hidden="1" outlineLevel="2" x14ac:dyDescent="0.3">
      <c r="A63" s="29"/>
      <c r="B63" s="11" t="str">
        <f>CONCATENATE("          ", "6305", " - ", "FREIGHT OUT")</f>
        <v xml:space="preserve">          6305 - FREIGHT OUT</v>
      </c>
      <c r="C63" s="11"/>
      <c r="D63" s="6">
        <v>1977.93</v>
      </c>
      <c r="E63" s="2"/>
      <c r="F63" s="7">
        <f t="shared" si="28"/>
        <v>3.9313081940664171E-2</v>
      </c>
      <c r="G63" s="2"/>
      <c r="H63" s="6">
        <v>1500</v>
      </c>
      <c r="I63" s="2"/>
      <c r="J63" s="7">
        <f t="shared" si="29"/>
        <v>2.5834007887983741E-2</v>
      </c>
      <c r="K63" s="2"/>
      <c r="L63" s="6">
        <f t="shared" si="30"/>
        <v>477.93000000000006</v>
      </c>
      <c r="M63" s="2"/>
      <c r="N63" s="7">
        <f t="shared" si="31"/>
        <v>0.31862000000000007</v>
      </c>
      <c r="O63" s="11"/>
      <c r="P63" s="6">
        <v>4490.78</v>
      </c>
      <c r="Q63" s="2"/>
      <c r="R63" s="7">
        <f t="shared" si="32"/>
        <v>4.213877551893638E-3</v>
      </c>
      <c r="S63" s="2"/>
      <c r="T63" s="6">
        <v>7900</v>
      </c>
      <c r="U63" s="2"/>
      <c r="V63" s="7">
        <f t="shared" si="33"/>
        <v>4.0710045023248532E-3</v>
      </c>
      <c r="W63" s="2"/>
      <c r="X63" s="6">
        <f t="shared" si="34"/>
        <v>-3409.2200000000003</v>
      </c>
      <c r="Y63" s="2"/>
      <c r="Z63" s="7">
        <f t="shared" si="35"/>
        <v>-0.43154683544303801</v>
      </c>
    </row>
    <row r="64" spans="1:26" s="28" customFormat="1" outlineLevel="1" collapsed="1" x14ac:dyDescent="0.3">
      <c r="A64" s="27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750</v>
      </c>
      <c r="I64" s="1"/>
      <c r="J64" s="5">
        <f t="shared" si="29"/>
        <v>1.2917003943991871E-2</v>
      </c>
      <c r="K64" s="1"/>
      <c r="L64" s="1">
        <f t="shared" si="30"/>
        <v>-750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1375</v>
      </c>
      <c r="U64" s="1"/>
      <c r="V64" s="5">
        <f t="shared" si="33"/>
        <v>7.0856091021476869E-4</v>
      </c>
      <c r="W64" s="1"/>
      <c r="X64" s="1">
        <f t="shared" si="34"/>
        <v>-1375</v>
      </c>
      <c r="Y64" s="1"/>
      <c r="Z64" s="5">
        <f t="shared" si="35"/>
        <v>-1</v>
      </c>
    </row>
    <row r="65" spans="1:26" s="24" customFormat="1" hidden="1" outlineLevel="2" x14ac:dyDescent="0.3">
      <c r="A65" s="29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750</v>
      </c>
      <c r="I65" s="2"/>
      <c r="J65" s="7">
        <f t="shared" si="29"/>
        <v>1.2917003943991871E-2</v>
      </c>
      <c r="K65" s="2"/>
      <c r="L65" s="6">
        <f t="shared" si="30"/>
        <v>-750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1375</v>
      </c>
      <c r="U65" s="2"/>
      <c r="V65" s="7">
        <f t="shared" si="33"/>
        <v>7.0856091021476869E-4</v>
      </c>
      <c r="W65" s="2"/>
      <c r="X65" s="6">
        <f t="shared" si="34"/>
        <v>-1375</v>
      </c>
      <c r="Y65" s="2"/>
      <c r="Z65" s="7">
        <f t="shared" si="35"/>
        <v>-1</v>
      </c>
    </row>
    <row r="66" spans="1:26" s="28" customFormat="1" outlineLevel="1" collapsed="1" x14ac:dyDescent="0.3">
      <c r="A66" s="27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5000</v>
      </c>
      <c r="E66" s="1"/>
      <c r="F66" s="5">
        <f t="shared" si="28"/>
        <v>9.9379356045623882E-2</v>
      </c>
      <c r="G66" s="1"/>
      <c r="H66" s="1">
        <f>SUM(OSRRefH22_7x_0)</f>
        <v>5000</v>
      </c>
      <c r="I66" s="1"/>
      <c r="J66" s="5">
        <f t="shared" si="29"/>
        <v>8.6113359626612471E-2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10000</v>
      </c>
      <c r="Q66" s="1"/>
      <c r="R66" s="5">
        <f t="shared" si="32"/>
        <v>9.3833978771920221E-3</v>
      </c>
      <c r="S66" s="1"/>
      <c r="T66" s="1">
        <f>SUM(OSRRefT22_7x_0)</f>
        <v>10000</v>
      </c>
      <c r="U66" s="1"/>
      <c r="V66" s="5">
        <f t="shared" si="33"/>
        <v>5.1531702561074082E-3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3">
      <c r="A67" s="29"/>
      <c r="B67" s="11" t="str">
        <f>CONCATENATE("          ", "6408", " - ", "INVENTORY ADJUSTMENT")</f>
        <v xml:space="preserve">          6408 - INVENTORY ADJUSTMENT</v>
      </c>
      <c r="C67" s="11"/>
      <c r="D67" s="6">
        <v>5000</v>
      </c>
      <c r="E67" s="2"/>
      <c r="F67" s="7">
        <f t="shared" si="28"/>
        <v>9.9379356045623882E-2</v>
      </c>
      <c r="G67" s="2"/>
      <c r="H67" s="6">
        <v>5000</v>
      </c>
      <c r="I67" s="2"/>
      <c r="J67" s="7">
        <f t="shared" si="29"/>
        <v>8.6113359626612471E-2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10000</v>
      </c>
      <c r="Q67" s="2"/>
      <c r="R67" s="7">
        <f t="shared" si="32"/>
        <v>9.3833978771920221E-3</v>
      </c>
      <c r="S67" s="2"/>
      <c r="T67" s="6">
        <v>10000</v>
      </c>
      <c r="U67" s="2"/>
      <c r="V67" s="7">
        <f t="shared" si="33"/>
        <v>5.1531702561074082E-3</v>
      </c>
      <c r="W67" s="2"/>
      <c r="X67" s="6">
        <f t="shared" si="34"/>
        <v>0</v>
      </c>
      <c r="Y67" s="2"/>
      <c r="Z67" s="7">
        <f t="shared" si="35"/>
        <v>0</v>
      </c>
    </row>
    <row r="68" spans="1:26" s="28" customFormat="1" outlineLevel="1" collapsed="1" x14ac:dyDescent="0.3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SUM(OSRRefD22_8x_0)</f>
        <v>14.62</v>
      </c>
      <c r="E68" s="1"/>
      <c r="F68" s="5">
        <f t="shared" si="28"/>
        <v>2.905852370774042E-4</v>
      </c>
      <c r="G68" s="1"/>
      <c r="H68" s="1">
        <f>SUM(OSRRefH22_8x_0)</f>
        <v>80</v>
      </c>
      <c r="I68" s="1"/>
      <c r="J68" s="5">
        <f t="shared" si="29"/>
        <v>1.3778137540257996E-3</v>
      </c>
      <c r="K68" s="1"/>
      <c r="L68" s="1">
        <f t="shared" si="30"/>
        <v>-65.38</v>
      </c>
      <c r="M68" s="1"/>
      <c r="N68" s="5">
        <f t="shared" si="31"/>
        <v>-0.81724999999999992</v>
      </c>
      <c r="O68" s="14"/>
      <c r="P68" s="1">
        <f>SUM(OSRRefP22_8x_0)</f>
        <v>5869.06</v>
      </c>
      <c r="Q68" s="1"/>
      <c r="R68" s="5">
        <f t="shared" si="32"/>
        <v>5.5071725145112611E-3</v>
      </c>
      <c r="S68" s="1"/>
      <c r="T68" s="1">
        <f>SUM(OSRRefT22_8x_0)</f>
        <v>480</v>
      </c>
      <c r="U68" s="1"/>
      <c r="V68" s="5">
        <f t="shared" si="33"/>
        <v>2.473521722931556E-4</v>
      </c>
      <c r="W68" s="1"/>
      <c r="X68" s="1">
        <f t="shared" si="34"/>
        <v>5389.06</v>
      </c>
      <c r="Y68" s="1"/>
      <c r="Z68" s="5">
        <f t="shared" si="35"/>
        <v>11.227208333333333</v>
      </c>
    </row>
    <row r="69" spans="1:26" s="24" customFormat="1" hidden="1" outlineLevel="2" x14ac:dyDescent="0.3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28"/>
        <v>0</v>
      </c>
      <c r="G69" s="2"/>
      <c r="H69" s="6"/>
      <c r="I69" s="2"/>
      <c r="J69" s="7">
        <f t="shared" si="29"/>
        <v>0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>
        <v>5775</v>
      </c>
      <c r="Q69" s="2"/>
      <c r="R69" s="7">
        <f t="shared" si="32"/>
        <v>5.4189122740783925E-3</v>
      </c>
      <c r="S69" s="2"/>
      <c r="T69" s="6"/>
      <c r="U69" s="2"/>
      <c r="V69" s="7">
        <f t="shared" si="33"/>
        <v>0</v>
      </c>
      <c r="W69" s="2"/>
      <c r="X69" s="6">
        <f t="shared" si="34"/>
        <v>5775</v>
      </c>
      <c r="Y69" s="2"/>
      <c r="Z69" s="7">
        <f t="shared" si="35"/>
        <v>0</v>
      </c>
    </row>
    <row r="70" spans="1:26" s="24" customFormat="1" hidden="1" outlineLevel="2" x14ac:dyDescent="0.3">
      <c r="A70" s="29"/>
      <c r="B70" s="11" t="str">
        <f>CONCATENATE("          ", "6373", " - ", "MAINTENANCE CONTRACTS")</f>
        <v xml:space="preserve">          6373 - MAINTENANCE CONTRACTS</v>
      </c>
      <c r="C70" s="11"/>
      <c r="D70" s="6">
        <v>14.62</v>
      </c>
      <c r="E70" s="2"/>
      <c r="F70" s="7">
        <f t="shared" si="28"/>
        <v>2.905852370774042E-4</v>
      </c>
      <c r="G70" s="2"/>
      <c r="H70" s="6">
        <v>40</v>
      </c>
      <c r="I70" s="2"/>
      <c r="J70" s="7">
        <f t="shared" si="29"/>
        <v>6.8890687701289978E-4</v>
      </c>
      <c r="K70" s="2"/>
      <c r="L70" s="6">
        <f t="shared" si="30"/>
        <v>-25.380000000000003</v>
      </c>
      <c r="M70" s="2"/>
      <c r="N70" s="7">
        <f t="shared" si="31"/>
        <v>-0.63450000000000006</v>
      </c>
      <c r="O70" s="11"/>
      <c r="P70" s="6">
        <v>94.06</v>
      </c>
      <c r="Q70" s="2"/>
      <c r="R70" s="7">
        <f t="shared" si="32"/>
        <v>8.8260240432868153E-5</v>
      </c>
      <c r="S70" s="2"/>
      <c r="T70" s="6">
        <v>240</v>
      </c>
      <c r="U70" s="2"/>
      <c r="V70" s="7">
        <f t="shared" si="33"/>
        <v>1.236760861465778E-4</v>
      </c>
      <c r="W70" s="2"/>
      <c r="X70" s="6">
        <f t="shared" si="34"/>
        <v>-145.94</v>
      </c>
      <c r="Y70" s="2"/>
      <c r="Z70" s="7">
        <f t="shared" si="35"/>
        <v>-0.60808333333333331</v>
      </c>
    </row>
    <row r="71" spans="1:26" s="24" customFormat="1" hidden="1" outlineLevel="2" x14ac:dyDescent="0.3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28"/>
        <v>0</v>
      </c>
      <c r="G71" s="2"/>
      <c r="H71" s="6">
        <v>40</v>
      </c>
      <c r="I71" s="2"/>
      <c r="J71" s="7">
        <f t="shared" si="29"/>
        <v>6.8890687701289978E-4</v>
      </c>
      <c r="K71" s="2"/>
      <c r="L71" s="6">
        <f t="shared" si="30"/>
        <v>-40</v>
      </c>
      <c r="M71" s="2"/>
      <c r="N71" s="7">
        <f t="shared" si="31"/>
        <v>-1</v>
      </c>
      <c r="O71" s="11"/>
      <c r="P71" s="6"/>
      <c r="Q71" s="2"/>
      <c r="R71" s="7">
        <f t="shared" si="32"/>
        <v>0</v>
      </c>
      <c r="S71" s="2"/>
      <c r="T71" s="6">
        <v>240</v>
      </c>
      <c r="U71" s="2"/>
      <c r="V71" s="7">
        <f t="shared" si="33"/>
        <v>1.236760861465778E-4</v>
      </c>
      <c r="W71" s="2"/>
      <c r="X71" s="6">
        <f t="shared" si="34"/>
        <v>-240</v>
      </c>
      <c r="Y71" s="2"/>
      <c r="Z71" s="7">
        <f t="shared" si="35"/>
        <v>-1</v>
      </c>
    </row>
    <row r="72" spans="1:26" s="28" customFormat="1" outlineLevel="1" collapsed="1" x14ac:dyDescent="0.3">
      <c r="A72" s="27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SUM(OSRRefD22_9x_0)</f>
        <v>286.24</v>
      </c>
      <c r="E72" s="1"/>
      <c r="F72" s="5">
        <f t="shared" ref="F72:F76" si="36">IF(D$12=0,0,D72/D$12)</f>
        <v>5.6892693748998762E-3</v>
      </c>
      <c r="G72" s="1"/>
      <c r="H72" s="1">
        <f>SUM(OSRRefH22_9x_0)</f>
        <v>300</v>
      </c>
      <c r="I72" s="1"/>
      <c r="J72" s="5">
        <f t="shared" ref="J72:J76" si="37">IF(H$12=0,0,H72/H$12)</f>
        <v>5.1668015775967486E-3</v>
      </c>
      <c r="K72" s="1"/>
      <c r="L72" s="1">
        <f t="shared" ref="L72:L76" si="38">+D72-H72</f>
        <v>-13.759999999999991</v>
      </c>
      <c r="M72" s="1"/>
      <c r="N72" s="5">
        <f t="shared" ref="N72:N76" si="39">IF(H72=0,0,L72/H72)</f>
        <v>-4.5866666666666639E-2</v>
      </c>
      <c r="O72" s="14"/>
      <c r="P72" s="1">
        <f>SUM(OSRRefP22_9x_0)</f>
        <v>1511.74</v>
      </c>
      <c r="Q72" s="1"/>
      <c r="R72" s="5">
        <f t="shared" ref="R72:R76" si="40">IF(P$12=0,0,P72/P$12)</f>
        <v>1.4185257906866265E-3</v>
      </c>
      <c r="S72" s="1"/>
      <c r="T72" s="1">
        <f>SUM(OSRRefT22_9x_0)</f>
        <v>1800</v>
      </c>
      <c r="U72" s="1"/>
      <c r="V72" s="5">
        <f t="shared" ref="V72:V76" si="41">IF(T$12=0,0,T72/T$12)</f>
        <v>9.275706460993335E-4</v>
      </c>
      <c r="W72" s="1"/>
      <c r="X72" s="1">
        <f t="shared" ref="X72:X76" si="42">+P72-T72</f>
        <v>-288.26</v>
      </c>
      <c r="Y72" s="1"/>
      <c r="Z72" s="5">
        <f t="shared" ref="Z72:Z76" si="43">IF(T72=0,0,X72/T72)</f>
        <v>-0.16014444444444445</v>
      </c>
    </row>
    <row r="73" spans="1:26" s="24" customFormat="1" hidden="1" outlineLevel="2" x14ac:dyDescent="0.3">
      <c r="A73" s="29"/>
      <c r="B73" s="11" t="str">
        <f>CONCATENATE("          ", "6258", " - ", "MEMBERSHIP DUES")</f>
        <v xml:space="preserve">          6258 - MEMBERSHIP DUES</v>
      </c>
      <c r="C73" s="11"/>
      <c r="D73" s="6">
        <v>286.24</v>
      </c>
      <c r="E73" s="2"/>
      <c r="F73" s="7">
        <f t="shared" si="36"/>
        <v>5.6892693748998762E-3</v>
      </c>
      <c r="G73" s="2"/>
      <c r="H73" s="6">
        <v>300</v>
      </c>
      <c r="I73" s="2"/>
      <c r="J73" s="7">
        <f t="shared" si="37"/>
        <v>5.1668015775967486E-3</v>
      </c>
      <c r="K73" s="2"/>
      <c r="L73" s="6">
        <f t="shared" si="38"/>
        <v>-13.759999999999991</v>
      </c>
      <c r="M73" s="2"/>
      <c r="N73" s="7">
        <f t="shared" si="39"/>
        <v>-4.5866666666666639E-2</v>
      </c>
      <c r="O73" s="11"/>
      <c r="P73" s="6">
        <v>1511.74</v>
      </c>
      <c r="Q73" s="2"/>
      <c r="R73" s="7">
        <f t="shared" si="40"/>
        <v>1.4185257906866265E-3</v>
      </c>
      <c r="S73" s="2"/>
      <c r="T73" s="6">
        <v>1800</v>
      </c>
      <c r="U73" s="2"/>
      <c r="V73" s="7">
        <f t="shared" si="41"/>
        <v>9.275706460993335E-4</v>
      </c>
      <c r="W73" s="2"/>
      <c r="X73" s="6">
        <f t="shared" si="42"/>
        <v>-288.26</v>
      </c>
      <c r="Y73" s="2"/>
      <c r="Z73" s="7">
        <f t="shared" si="43"/>
        <v>-0.16014444444444445</v>
      </c>
    </row>
    <row r="74" spans="1:26" s="28" customFormat="1" outlineLevel="1" collapsed="1" x14ac:dyDescent="0.3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SUM(OSRRefD22_10x_0)</f>
        <v>131.44</v>
      </c>
      <c r="E74" s="1"/>
      <c r="F74" s="5">
        <f t="shared" si="36"/>
        <v>2.6124845117273606E-3</v>
      </c>
      <c r="G74" s="1"/>
      <c r="H74" s="1">
        <f>SUM(OSRRefH22_10x_0)</f>
        <v>1100</v>
      </c>
      <c r="I74" s="1"/>
      <c r="J74" s="5">
        <f t="shared" si="37"/>
        <v>1.8944939117854744E-2</v>
      </c>
      <c r="K74" s="1"/>
      <c r="L74" s="1">
        <f t="shared" si="38"/>
        <v>-968.56</v>
      </c>
      <c r="M74" s="1"/>
      <c r="N74" s="5">
        <f t="shared" si="39"/>
        <v>-0.88050909090909091</v>
      </c>
      <c r="O74" s="14"/>
      <c r="P74" s="1">
        <f>SUM(OSRRefP22_10x_0)</f>
        <v>1075.77</v>
      </c>
      <c r="Q74" s="1"/>
      <c r="R74" s="5">
        <f t="shared" si="40"/>
        <v>1.009437793434686E-3</v>
      </c>
      <c r="S74" s="1"/>
      <c r="T74" s="1">
        <f>SUM(OSRRefT22_10x_0)</f>
        <v>4800</v>
      </c>
      <c r="U74" s="1"/>
      <c r="V74" s="5">
        <f t="shared" si="41"/>
        <v>2.473521722931556E-3</v>
      </c>
      <c r="W74" s="1"/>
      <c r="X74" s="1">
        <f t="shared" si="42"/>
        <v>-3724.23</v>
      </c>
      <c r="Y74" s="1"/>
      <c r="Z74" s="5">
        <f t="shared" si="43"/>
        <v>-0.77588124999999997</v>
      </c>
    </row>
    <row r="75" spans="1:26" s="24" customFormat="1" hidden="1" outlineLevel="2" x14ac:dyDescent="0.3">
      <c r="A75" s="29"/>
      <c r="B75" s="11" t="str">
        <f>CONCATENATE("          ", "6241", " - ", "OFFICE EXPENSE")</f>
        <v xml:space="preserve">          6241 - OFFICE EXPENSE</v>
      </c>
      <c r="C75" s="11"/>
      <c r="D75" s="6">
        <v>131.44</v>
      </c>
      <c r="E75" s="2"/>
      <c r="F75" s="7">
        <f t="shared" si="36"/>
        <v>2.6124845117273606E-3</v>
      </c>
      <c r="G75" s="2"/>
      <c r="H75" s="6">
        <v>800</v>
      </c>
      <c r="I75" s="2"/>
      <c r="J75" s="7">
        <f t="shared" si="37"/>
        <v>1.3778137540257996E-2</v>
      </c>
      <c r="K75" s="2"/>
      <c r="L75" s="6">
        <f t="shared" si="38"/>
        <v>-668.56</v>
      </c>
      <c r="M75" s="2"/>
      <c r="N75" s="7">
        <f t="shared" si="39"/>
        <v>-0.83569999999999989</v>
      </c>
      <c r="O75" s="11"/>
      <c r="P75" s="6">
        <v>1075.77</v>
      </c>
      <c r="Q75" s="2"/>
      <c r="R75" s="7">
        <f t="shared" si="40"/>
        <v>1.009437793434686E-3</v>
      </c>
      <c r="S75" s="2"/>
      <c r="T75" s="6">
        <v>2600</v>
      </c>
      <c r="U75" s="2"/>
      <c r="V75" s="7">
        <f t="shared" si="41"/>
        <v>1.3398242665879263E-3</v>
      </c>
      <c r="W75" s="2"/>
      <c r="X75" s="6">
        <f t="shared" si="42"/>
        <v>-1524.23</v>
      </c>
      <c r="Y75" s="2"/>
      <c r="Z75" s="7">
        <f t="shared" si="43"/>
        <v>-0.58624230769230767</v>
      </c>
    </row>
    <row r="76" spans="1:26" s="24" customFormat="1" hidden="1" outlineLevel="2" x14ac:dyDescent="0.3">
      <c r="A76" s="29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36"/>
        <v>0</v>
      </c>
      <c r="G76" s="2"/>
      <c r="H76" s="6">
        <v>300</v>
      </c>
      <c r="I76" s="2"/>
      <c r="J76" s="7">
        <f t="shared" si="37"/>
        <v>5.1668015775967486E-3</v>
      </c>
      <c r="K76" s="2"/>
      <c r="L76" s="6">
        <f t="shared" si="38"/>
        <v>-300</v>
      </c>
      <c r="M76" s="2"/>
      <c r="N76" s="7">
        <f t="shared" si="39"/>
        <v>-1</v>
      </c>
      <c r="O76" s="11"/>
      <c r="P76" s="6"/>
      <c r="Q76" s="2"/>
      <c r="R76" s="7">
        <f t="shared" si="40"/>
        <v>0</v>
      </c>
      <c r="S76" s="2"/>
      <c r="T76" s="6">
        <v>2200</v>
      </c>
      <c r="U76" s="2"/>
      <c r="V76" s="7">
        <f t="shared" si="41"/>
        <v>1.1336974563436299E-3</v>
      </c>
      <c r="W76" s="2"/>
      <c r="X76" s="6">
        <f t="shared" si="42"/>
        <v>-2200</v>
      </c>
      <c r="Y76" s="2"/>
      <c r="Z76" s="7">
        <f t="shared" si="43"/>
        <v>-1</v>
      </c>
    </row>
    <row r="77" spans="1:26" s="28" customFormat="1" outlineLevel="1" collapsed="1" x14ac:dyDescent="0.3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SUM(OSRRefD22_11x_0)</f>
        <v>61.5</v>
      </c>
      <c r="E77" s="1"/>
      <c r="F77" s="5">
        <f t="shared" ref="F77:F79" si="44">IF(D$12=0,0,D77/D$12)</f>
        <v>1.2223660793611738E-3</v>
      </c>
      <c r="G77" s="1"/>
      <c r="H77" s="1">
        <f>SUM(OSRRefH22_11x_0)</f>
        <v>500</v>
      </c>
      <c r="I77" s="1"/>
      <c r="J77" s="5">
        <f t="shared" ref="J77:J79" si="45">IF(H$12=0,0,H77/H$12)</f>
        <v>8.6113359626612471E-3</v>
      </c>
      <c r="K77" s="1"/>
      <c r="L77" s="1">
        <f t="shared" ref="L77:L79" si="46">+D77-H77</f>
        <v>-438.5</v>
      </c>
      <c r="M77" s="1"/>
      <c r="N77" s="5">
        <f t="shared" ref="N77:N79" si="47">IF(H77=0,0,L77/H77)</f>
        <v>-0.877</v>
      </c>
      <c r="O77" s="14"/>
      <c r="P77" s="1">
        <f>SUM(OSRRefP22_11x_0)</f>
        <v>3078.85</v>
      </c>
      <c r="Q77" s="1"/>
      <c r="R77" s="5">
        <f t="shared" ref="R77:R79" si="48">IF(P$12=0,0,P77/P$12)</f>
        <v>2.8890074554192655E-3</v>
      </c>
      <c r="S77" s="1"/>
      <c r="T77" s="1">
        <f>SUM(OSRRefT22_11x_0)</f>
        <v>2600</v>
      </c>
      <c r="U77" s="1"/>
      <c r="V77" s="5">
        <f t="shared" ref="V77:V79" si="49">IF(T$12=0,0,T77/T$12)</f>
        <v>1.3398242665879263E-3</v>
      </c>
      <c r="W77" s="1"/>
      <c r="X77" s="1">
        <f t="shared" ref="X77:X79" si="50">+P77-T77</f>
        <v>478.84999999999991</v>
      </c>
      <c r="Y77" s="1"/>
      <c r="Z77" s="5">
        <f t="shared" ref="Z77:Z79" si="51">IF(T77=0,0,X77/T77)</f>
        <v>0.18417307692307688</v>
      </c>
    </row>
    <row r="78" spans="1:26" s="24" customFormat="1" hidden="1" outlineLevel="2" x14ac:dyDescent="0.3">
      <c r="A78" s="29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44"/>
        <v>0</v>
      </c>
      <c r="G78" s="2"/>
      <c r="H78" s="6">
        <v>0</v>
      </c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295</v>
      </c>
      <c r="Q78" s="2"/>
      <c r="R78" s="7">
        <f t="shared" si="48"/>
        <v>2.7681023737716464E-4</v>
      </c>
      <c r="S78" s="2"/>
      <c r="T78" s="6">
        <v>0</v>
      </c>
      <c r="U78" s="2"/>
      <c r="V78" s="7">
        <f t="shared" si="49"/>
        <v>0</v>
      </c>
      <c r="W78" s="2"/>
      <c r="X78" s="6">
        <f t="shared" si="50"/>
        <v>295</v>
      </c>
      <c r="Y78" s="2"/>
      <c r="Z78" s="7">
        <f t="shared" si="51"/>
        <v>0</v>
      </c>
    </row>
    <row r="79" spans="1:26" s="24" customFormat="1" hidden="1" outlineLevel="2" x14ac:dyDescent="0.3">
      <c r="A79" s="29"/>
      <c r="B79" s="11" t="str">
        <f>CONCATENATE("          ", "6309", " - ", "TELEPHONE")</f>
        <v xml:space="preserve">          6309 - TELEPHONE</v>
      </c>
      <c r="C79" s="11"/>
      <c r="D79" s="6">
        <v>61.5</v>
      </c>
      <c r="E79" s="2"/>
      <c r="F79" s="7">
        <f t="shared" si="44"/>
        <v>1.2223660793611738E-3</v>
      </c>
      <c r="G79" s="2"/>
      <c r="H79" s="6">
        <v>500</v>
      </c>
      <c r="I79" s="2"/>
      <c r="J79" s="7">
        <f t="shared" si="45"/>
        <v>8.6113359626612471E-3</v>
      </c>
      <c r="K79" s="2"/>
      <c r="L79" s="6">
        <f t="shared" si="46"/>
        <v>-438.5</v>
      </c>
      <c r="M79" s="2"/>
      <c r="N79" s="7">
        <f t="shared" si="47"/>
        <v>-0.877</v>
      </c>
      <c r="O79" s="11"/>
      <c r="P79" s="6">
        <v>2783.85</v>
      </c>
      <c r="Q79" s="2"/>
      <c r="R79" s="7">
        <f t="shared" si="48"/>
        <v>2.6121972180421006E-3</v>
      </c>
      <c r="S79" s="2"/>
      <c r="T79" s="6">
        <v>2600</v>
      </c>
      <c r="U79" s="2"/>
      <c r="V79" s="7">
        <f t="shared" si="49"/>
        <v>1.3398242665879263E-3</v>
      </c>
      <c r="W79" s="2"/>
      <c r="X79" s="6">
        <f t="shared" si="50"/>
        <v>183.84999999999991</v>
      </c>
      <c r="Y79" s="2"/>
      <c r="Z79" s="7">
        <f t="shared" si="51"/>
        <v>7.0711538461538423E-2</v>
      </c>
    </row>
    <row r="80" spans="1:26" s="28" customFormat="1" outlineLevel="1" collapsed="1" x14ac:dyDescent="0.3">
      <c r="A80" s="27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SUM(OSRRefD22_12x_0)</f>
        <v>0</v>
      </c>
      <c r="E80" s="1"/>
      <c r="F80" s="5">
        <f t="shared" ref="F80:F81" si="52">IF(D$12=0,0,D80/D$12)</f>
        <v>0</v>
      </c>
      <c r="G80" s="1"/>
      <c r="H80" s="1">
        <f>SUM(OSRRefH22_12x_0)</f>
        <v>0</v>
      </c>
      <c r="I80" s="1"/>
      <c r="J80" s="5">
        <f t="shared" ref="J80:J81" si="53">IF(H$12=0,0,H80/H$12)</f>
        <v>0</v>
      </c>
      <c r="K80" s="1"/>
      <c r="L80" s="1">
        <f t="shared" ref="L80:L81" si="54">+D80-H80</f>
        <v>0</v>
      </c>
      <c r="M80" s="1"/>
      <c r="N80" s="5">
        <f t="shared" ref="N80:N81" si="55">IF(H80=0,0,L80/H80)</f>
        <v>0</v>
      </c>
      <c r="O80" s="14"/>
      <c r="P80" s="1">
        <f>SUM(OSRRefP22_12x_0)</f>
        <v>0</v>
      </c>
      <c r="Q80" s="1"/>
      <c r="R80" s="5">
        <f t="shared" ref="R80:R81" si="56">IF(P$12=0,0,P80/P$12)</f>
        <v>0</v>
      </c>
      <c r="S80" s="1"/>
      <c r="T80" s="1">
        <f>SUM(OSRRefT22_12x_0)</f>
        <v>0</v>
      </c>
      <c r="U80" s="1"/>
      <c r="V80" s="5">
        <f t="shared" ref="V80:V81" si="57">IF(T$12=0,0,T80/T$12)</f>
        <v>0</v>
      </c>
      <c r="W80" s="1"/>
      <c r="X80" s="1">
        <f t="shared" ref="X80:X81" si="58">+P80-T80</f>
        <v>0</v>
      </c>
      <c r="Y80" s="1"/>
      <c r="Z80" s="5">
        <f t="shared" ref="Z80:Z81" si="59">IF(T80=0,0,X80/T80)</f>
        <v>0</v>
      </c>
    </row>
    <row r="81" spans="1:26" s="24" customFormat="1" hidden="1" outlineLevel="2" x14ac:dyDescent="0.3">
      <c r="A81" s="29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52"/>
        <v>0</v>
      </c>
      <c r="G81" s="2"/>
      <c r="H81" s="6">
        <v>0</v>
      </c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/>
      <c r="Q81" s="2"/>
      <c r="R81" s="7">
        <f t="shared" si="56"/>
        <v>0</v>
      </c>
      <c r="S81" s="2"/>
      <c r="T81" s="6">
        <v>0</v>
      </c>
      <c r="U81" s="2"/>
      <c r="V81" s="7">
        <f t="shared" si="57"/>
        <v>0</v>
      </c>
      <c r="W81" s="2"/>
      <c r="X81" s="6">
        <f t="shared" si="58"/>
        <v>0</v>
      </c>
      <c r="Y81" s="2"/>
      <c r="Z81" s="7">
        <f t="shared" si="59"/>
        <v>0</v>
      </c>
    </row>
    <row r="82" spans="1:26" s="55" customFormat="1" x14ac:dyDescent="0.3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3">
      <c r="A83" s="10"/>
      <c r="B83" s="25" t="s">
        <v>293</v>
      </c>
      <c r="C83" s="10"/>
      <c r="D83" s="4">
        <f>SUM(OSRRefD25x_0)</f>
        <v>931.69</v>
      </c>
      <c r="E83" s="4"/>
      <c r="F83" s="12">
        <f t="shared" ref="F83:F87" si="60">IF(D$12=0,0,D83/D$12)</f>
        <v>1.8518150446829463E-2</v>
      </c>
      <c r="G83" s="4"/>
      <c r="H83" s="4">
        <f>SUM(OSRRefH25x_0)</f>
        <v>6182</v>
      </c>
      <c r="I83" s="4"/>
      <c r="J83" s="12">
        <f t="shared" ref="J83:J87" si="61">IF(H$12=0,0,H83/H$12)</f>
        <v>0.10647055784234366</v>
      </c>
      <c r="K83" s="4"/>
      <c r="L83" s="4">
        <f t="shared" ref="L83:L87" si="62">+D83-H83</f>
        <v>-5250.3099999999995</v>
      </c>
      <c r="M83" s="4"/>
      <c r="N83" s="12">
        <f t="shared" ref="N83:N87" si="63">IF(H83=0,0,L83/H83)</f>
        <v>-0.8492898738272403</v>
      </c>
      <c r="O83" s="10"/>
      <c r="P83" s="4">
        <f>SUM(OSRRefP25x_0)</f>
        <v>190903.72</v>
      </c>
      <c r="Q83" s="4"/>
      <c r="R83" s="12">
        <f t="shared" ref="R83:R87" si="64">IF(P$12=0,0,P83/P$12)</f>
        <v>0.17913255609960602</v>
      </c>
      <c r="S83" s="4"/>
      <c r="T83" s="4">
        <f>SUM(OSRRefT25x_0)</f>
        <v>184486.5</v>
      </c>
      <c r="U83" s="4"/>
      <c r="V83" s="12">
        <f t="shared" ref="V83:V87" si="65">IF(T$12=0,0,T83/T$12)</f>
        <v>9.5069034445335945E-2</v>
      </c>
      <c r="W83" s="4"/>
      <c r="X83" s="4">
        <f t="shared" ref="X83:X87" si="66">+P83-T83</f>
        <v>6417.2200000000012</v>
      </c>
      <c r="Y83" s="4"/>
      <c r="Z83" s="12">
        <f t="shared" ref="Z83:Z87" si="67">IF(T83=0,0,X83/T83)</f>
        <v>3.4784225404026863E-2</v>
      </c>
    </row>
    <row r="84" spans="1:26" s="24" customFormat="1" hidden="1" outlineLevel="1" x14ac:dyDescent="0.3">
      <c r="A84" s="44"/>
      <c r="B84" s="11" t="str">
        <f>CONCATENATE("          ", "9150", " - ", "MISC. INCOME")</f>
        <v xml:space="preserve">          9150 - MISC. INCOME</v>
      </c>
      <c r="C84" s="11"/>
      <c r="D84" s="2">
        <f t="shared" ref="D84:D85" si="68">0</f>
        <v>0</v>
      </c>
      <c r="E84" s="2"/>
      <c r="F84" s="19">
        <f t="shared" si="60"/>
        <v>0</v>
      </c>
      <c r="G84" s="2"/>
      <c r="H84" s="2">
        <v>6182</v>
      </c>
      <c r="I84" s="2"/>
      <c r="J84" s="19">
        <f t="shared" si="61"/>
        <v>0.10647055784234366</v>
      </c>
      <c r="K84" s="2"/>
      <c r="L84" s="2">
        <f t="shared" si="62"/>
        <v>-6182</v>
      </c>
      <c r="M84" s="2"/>
      <c r="N84" s="19">
        <f t="shared" si="63"/>
        <v>-1</v>
      </c>
      <c r="O84" s="11"/>
      <c r="P84" s="2">
        <f>--19313.26</f>
        <v>19313.259999999998</v>
      </c>
      <c r="Q84" s="2"/>
      <c r="R84" s="19">
        <f t="shared" si="64"/>
        <v>1.8122400288565755E-2</v>
      </c>
      <c r="S84" s="2"/>
      <c r="T84" s="2">
        <v>22506</v>
      </c>
      <c r="U84" s="2"/>
      <c r="V84" s="19">
        <f t="shared" si="65"/>
        <v>1.1597724978395334E-2</v>
      </c>
      <c r="W84" s="2"/>
      <c r="X84" s="2">
        <f t="shared" si="66"/>
        <v>-3192.7400000000016</v>
      </c>
      <c r="Y84" s="2"/>
      <c r="Z84" s="19">
        <f t="shared" si="67"/>
        <v>-0.14186172576201908</v>
      </c>
    </row>
    <row r="85" spans="1:26" s="24" customFormat="1" hidden="1" outlineLevel="1" x14ac:dyDescent="0.3">
      <c r="A85" s="44"/>
      <c r="B85" s="11" t="str">
        <f>CONCATENATE("          ", "9151", " - ", "MISC. INCOME")</f>
        <v xml:space="preserve">          9151 - MISC. INCOME</v>
      </c>
      <c r="C85" s="11"/>
      <c r="D85" s="2">
        <f t="shared" si="68"/>
        <v>0</v>
      </c>
      <c r="E85" s="2"/>
      <c r="F85" s="19">
        <f t="shared" si="60"/>
        <v>0</v>
      </c>
      <c r="G85" s="2"/>
      <c r="H85" s="2"/>
      <c r="I85" s="2"/>
      <c r="J85" s="19">
        <f t="shared" si="61"/>
        <v>0</v>
      </c>
      <c r="K85" s="2"/>
      <c r="L85" s="2">
        <f t="shared" si="62"/>
        <v>0</v>
      </c>
      <c r="M85" s="2"/>
      <c r="N85" s="19">
        <f t="shared" si="63"/>
        <v>0</v>
      </c>
      <c r="O85" s="11"/>
      <c r="P85" s="2">
        <f>--168463.36</f>
        <v>168463.35999999999</v>
      </c>
      <c r="Q85" s="2"/>
      <c r="R85" s="19">
        <f t="shared" si="64"/>
        <v>0.15807587346086352</v>
      </c>
      <c r="S85" s="2"/>
      <c r="T85" s="2">
        <v>161980.5</v>
      </c>
      <c r="U85" s="2"/>
      <c r="V85" s="19">
        <f t="shared" si="65"/>
        <v>8.3471309466940605E-2</v>
      </c>
      <c r="W85" s="2"/>
      <c r="X85" s="2">
        <f t="shared" si="66"/>
        <v>6482.859999999986</v>
      </c>
      <c r="Y85" s="2"/>
      <c r="Z85" s="19">
        <f t="shared" si="67"/>
        <v>4.0022471840746178E-2</v>
      </c>
    </row>
    <row r="86" spans="1:26" s="24" customFormat="1" hidden="1" outlineLevel="1" x14ac:dyDescent="0.3">
      <c r="A86" s="44"/>
      <c r="B86" s="11" t="str">
        <f>CONCATENATE("          ", "9152", " - ", "MISC. INCOME")</f>
        <v xml:space="preserve">          9152 - MISC. INCOME</v>
      </c>
      <c r="C86" s="11"/>
      <c r="D86" s="2">
        <f>--931.69</f>
        <v>931.69</v>
      </c>
      <c r="E86" s="2"/>
      <c r="F86" s="19">
        <f t="shared" si="60"/>
        <v>1.8518150446829463E-2</v>
      </c>
      <c r="G86" s="2"/>
      <c r="H86" s="2"/>
      <c r="I86" s="2"/>
      <c r="J86" s="19">
        <f t="shared" si="61"/>
        <v>0</v>
      </c>
      <c r="K86" s="2"/>
      <c r="L86" s="2">
        <f t="shared" si="62"/>
        <v>931.69</v>
      </c>
      <c r="M86" s="2"/>
      <c r="N86" s="19">
        <f t="shared" si="63"/>
        <v>0</v>
      </c>
      <c r="O86" s="11"/>
      <c r="P86" s="2">
        <f>--3127.1</f>
        <v>3127.1</v>
      </c>
      <c r="Q86" s="2"/>
      <c r="R86" s="19">
        <f t="shared" si="64"/>
        <v>2.9342823501767169E-3</v>
      </c>
      <c r="S86" s="2"/>
      <c r="T86" s="2"/>
      <c r="U86" s="2"/>
      <c r="V86" s="19">
        <f t="shared" si="65"/>
        <v>0</v>
      </c>
      <c r="W86" s="2"/>
      <c r="X86" s="2">
        <f t="shared" si="66"/>
        <v>3127.1</v>
      </c>
      <c r="Y86" s="2"/>
      <c r="Z86" s="19">
        <f t="shared" si="67"/>
        <v>0</v>
      </c>
    </row>
    <row r="87" spans="1:26" s="24" customFormat="1" hidden="1" outlineLevel="1" x14ac:dyDescent="0.3">
      <c r="A87" s="44"/>
      <c r="B87" s="11" t="str">
        <f>CONCATENATE("          ", "9160", " - ", "MISC. INCOME")</f>
        <v xml:space="preserve">          9160 - MISC. INCOME</v>
      </c>
      <c r="C87" s="11"/>
      <c r="D87" s="2">
        <f>0</f>
        <v>0</v>
      </c>
      <c r="E87" s="2"/>
      <c r="F87" s="19">
        <f t="shared" si="60"/>
        <v>0</v>
      </c>
      <c r="G87" s="2"/>
      <c r="H87" s="2">
        <v>0</v>
      </c>
      <c r="I87" s="2"/>
      <c r="J87" s="19">
        <f t="shared" si="61"/>
        <v>0</v>
      </c>
      <c r="K87" s="2"/>
      <c r="L87" s="2">
        <f t="shared" si="62"/>
        <v>0</v>
      </c>
      <c r="M87" s="2"/>
      <c r="N87" s="19">
        <f t="shared" si="63"/>
        <v>0</v>
      </c>
      <c r="O87" s="11"/>
      <c r="P87" s="2">
        <f>0</f>
        <v>0</v>
      </c>
      <c r="Q87" s="2"/>
      <c r="R87" s="19">
        <f t="shared" si="64"/>
        <v>0</v>
      </c>
      <c r="S87" s="2"/>
      <c r="T87" s="2">
        <v>0</v>
      </c>
      <c r="U87" s="2"/>
      <c r="V87" s="19">
        <f t="shared" si="65"/>
        <v>0</v>
      </c>
      <c r="W87" s="2"/>
      <c r="X87" s="2">
        <f t="shared" si="66"/>
        <v>0</v>
      </c>
      <c r="Y87" s="2"/>
      <c r="Z87" s="19">
        <f t="shared" si="67"/>
        <v>0</v>
      </c>
    </row>
    <row r="88" spans="1:26" x14ac:dyDescent="0.3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10"/>
      <c r="B89" s="26" t="s">
        <v>277</v>
      </c>
      <c r="C89" s="26"/>
      <c r="D89" s="20">
        <f>+D31-D33+D83</f>
        <v>-36499.48000000001</v>
      </c>
      <c r="E89" s="13"/>
      <c r="F89" s="22">
        <f>IF(D$12=0,0,D89/D$12)</f>
        <v>-0.72545896368002583</v>
      </c>
      <c r="G89" s="13"/>
      <c r="H89" s="20">
        <f>+H31-H33+H83</f>
        <v>-29428.292318989712</v>
      </c>
      <c r="I89" s="13"/>
      <c r="J89" s="22">
        <f>IF(H$12=0,0,H89/H$12)</f>
        <v>-0.50683382393244769</v>
      </c>
      <c r="K89" s="16"/>
      <c r="L89" s="20">
        <f>+D89-H89</f>
        <v>-7071.1876810102985</v>
      </c>
      <c r="M89" s="16"/>
      <c r="N89" s="22">
        <f>IF(H89=0,0,L89/H89)</f>
        <v>0.2402853554790656</v>
      </c>
      <c r="O89" s="25"/>
      <c r="P89" s="20">
        <f>+P31-P33+P83</f>
        <v>87429.000000000146</v>
      </c>
      <c r="Q89" s="13"/>
      <c r="R89" s="22">
        <f>IF(P$12=0,0,P89/P$12)</f>
        <v>8.203810930050226E-2</v>
      </c>
      <c r="S89" s="13"/>
      <c r="T89" s="20">
        <f>+T31-T33+T83</f>
        <v>399983.00244656653</v>
      </c>
      <c r="U89" s="13"/>
      <c r="V89" s="22">
        <f>IF(T$12=0,0,T89/T$12)</f>
        <v>0.20611805111561834</v>
      </c>
      <c r="W89" s="16"/>
      <c r="X89" s="20">
        <f>+P89-T89</f>
        <v>-312554.00244656636</v>
      </c>
      <c r="Y89" s="16"/>
      <c r="Z89" s="22">
        <f>IF(T89=0,0,X89/T89)</f>
        <v>-0.78141821161093028</v>
      </c>
    </row>
    <row r="90" spans="1:26" x14ac:dyDescent="0.3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52"/>
      <c r="B91" s="10" t="s">
        <v>128</v>
      </c>
      <c r="C91" s="10"/>
      <c r="D91" s="4">
        <v>7334.58</v>
      </c>
      <c r="E91" s="4"/>
      <c r="F91" s="12">
        <f>IF(D$12=0,0,D91/D$12)</f>
        <v>0.14578116745302239</v>
      </c>
      <c r="G91" s="4"/>
      <c r="H91" s="4">
        <v>15911</v>
      </c>
      <c r="I91" s="4"/>
      <c r="J91" s="12">
        <f>IF(H$12=0,0,H91/H$12)</f>
        <v>0.27402993300380624</v>
      </c>
      <c r="K91" s="4"/>
      <c r="L91" s="4">
        <f>+D91-H91</f>
        <v>-8576.42</v>
      </c>
      <c r="M91" s="4"/>
      <c r="N91" s="12">
        <f>IF(H91=0,0,L91/H91)</f>
        <v>-0.53902457419395389</v>
      </c>
      <c r="O91" s="10"/>
      <c r="P91" s="4">
        <v>128280.61</v>
      </c>
      <c r="Q91" s="4"/>
      <c r="R91" s="12">
        <f>IF(P$12=0,0,P91/P$12)</f>
        <v>0.12037080035588976</v>
      </c>
      <c r="S91" s="4"/>
      <c r="T91" s="4">
        <v>251246</v>
      </c>
      <c r="U91" s="4"/>
      <c r="V91" s="12">
        <f>IF(T$12=0,0,T91/T$12)</f>
        <v>0.12947134141659619</v>
      </c>
      <c r="W91" s="4"/>
      <c r="X91" s="4">
        <f>+P91-T91</f>
        <v>-122965.39</v>
      </c>
      <c r="Y91" s="4"/>
      <c r="Z91" s="12">
        <f>IF(T91=0,0,X91/T91)</f>
        <v>-0.48942227935967142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126</v>
      </c>
      <c r="C93" s="26"/>
      <c r="D93" s="31">
        <f>+D89-D91</f>
        <v>-43834.060000000012</v>
      </c>
      <c r="E93" s="13"/>
      <c r="F93" s="30">
        <f>IF(D$12=0,0,D93/D$12)</f>
        <v>-0.87124013113304821</v>
      </c>
      <c r="G93" s="13"/>
      <c r="H93" s="31">
        <f>+H89-H91</f>
        <v>-45339.292318989712</v>
      </c>
      <c r="I93" s="13"/>
      <c r="J93" s="30">
        <f>IF(H$12=0,0,H93/H$12)</f>
        <v>-0.78086375693625398</v>
      </c>
      <c r="K93" s="16"/>
      <c r="L93" s="31">
        <f>D93-H93</f>
        <v>1505.2323189896997</v>
      </c>
      <c r="M93" s="16"/>
      <c r="N93" s="30">
        <f>IF(H93=0,0,L93/H93)</f>
        <v>-3.3199290108003182E-2</v>
      </c>
      <c r="O93" s="25"/>
      <c r="P93" s="31">
        <f>+P89-P91</f>
        <v>-40851.609999999855</v>
      </c>
      <c r="Q93" s="13"/>
      <c r="R93" s="30">
        <f>IF(P$12=0,0,P93/P$12)</f>
        <v>-3.8332691055387502E-2</v>
      </c>
      <c r="S93" s="13"/>
      <c r="T93" s="31">
        <f>+T89-T91</f>
        <v>148737.00244656653</v>
      </c>
      <c r="U93" s="13"/>
      <c r="V93" s="30">
        <f>IF(T$12=0,0,T93/T$12)</f>
        <v>7.6646709699022153E-2</v>
      </c>
      <c r="W93" s="16"/>
      <c r="X93" s="31">
        <f>P93-T93</f>
        <v>-189588.6124465664</v>
      </c>
      <c r="Y93" s="16"/>
      <c r="Z93" s="30">
        <f>IF(T93=0,0,X93/T93)</f>
        <v>-1.2746566713597427</v>
      </c>
    </row>
    <row r="94" spans="1:26" ht="15" thickTop="1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294</v>
      </c>
      <c r="C96" s="26"/>
      <c r="D96" s="35">
        <f>SUM(D93:D95)</f>
        <v>-43834.060000000012</v>
      </c>
      <c r="E96" s="13"/>
      <c r="F96" s="34">
        <f>IF(D$12=0,0,D96/D$12)</f>
        <v>-0.87124013113304821</v>
      </c>
      <c r="G96" s="13"/>
      <c r="H96" s="35">
        <f>SUM(H93:H95)</f>
        <v>-45339.292318989712</v>
      </c>
      <c r="I96" s="13"/>
      <c r="J96" s="34">
        <f>IF(H$12=0,0,H96/H$12)</f>
        <v>-0.78086375693625398</v>
      </c>
      <c r="K96" s="16"/>
      <c r="L96" s="35">
        <f>+D96-H96</f>
        <v>1505.2323189896997</v>
      </c>
      <c r="M96" s="16"/>
      <c r="N96" s="34">
        <f>IF(H96=0,0,L96/H96)</f>
        <v>-3.3199290108003182E-2</v>
      </c>
      <c r="O96" s="25"/>
      <c r="P96" s="35">
        <f>SUM(P93:P95)</f>
        <v>-40851.609999999855</v>
      </c>
      <c r="Q96" s="13"/>
      <c r="R96" s="34">
        <f>IF(P$12=0,0,P96/P$12)</f>
        <v>-3.8332691055387502E-2</v>
      </c>
      <c r="S96" s="13"/>
      <c r="T96" s="35">
        <f>SUM(T93:T95)</f>
        <v>148737.00244656653</v>
      </c>
      <c r="U96" s="13"/>
      <c r="V96" s="34">
        <f>IF(T$12=0,0,T96/T$12)</f>
        <v>7.6646709699022153E-2</v>
      </c>
      <c r="W96" s="16"/>
      <c r="X96" s="35">
        <f>+P96-T96</f>
        <v>-189588.6124465664</v>
      </c>
      <c r="Y96" s="16"/>
      <c r="Z96" s="34">
        <f>IF(T96=0,0,X96/T96)</f>
        <v>-1.2746566713597427</v>
      </c>
    </row>
    <row r="97" spans="1:24" ht="15" thickTop="1" x14ac:dyDescent="0.3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A98" s="9"/>
      <c r="B98" s="61">
        <v>44575.842125659721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3">
      <c r="A99" s="9"/>
      <c r="B99" s="62" t="s">
        <v>56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3">
      <c r="A100" s="9"/>
      <c r="B100" s="53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3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","324", " - ", "Textbook Rental")</f>
        <v>Department 324 - Textbook Rental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-2339.54</v>
      </c>
      <c r="E12" s="4"/>
      <c r="F12" s="12"/>
      <c r="G12" s="4"/>
      <c r="H12" s="4">
        <f>SUM(OSRRefH13x_0)</f>
        <v>7944</v>
      </c>
      <c r="I12" s="4"/>
      <c r="J12" s="12"/>
      <c r="K12" s="4"/>
      <c r="L12" s="4">
        <f t="shared" ref="L12:L14" si="0">+D12-H12</f>
        <v>-10283.540000000001</v>
      </c>
      <c r="M12" s="4"/>
      <c r="N12" s="12">
        <f t="shared" ref="N12:N14" si="1">IF(H12=0,0,L12/H12)</f>
        <v>-1.2945040281973819</v>
      </c>
      <c r="O12" s="10"/>
      <c r="P12" s="4">
        <f>SUM(OSRRefP13x_0)</f>
        <v>333897.84000000003</v>
      </c>
      <c r="Q12" s="4"/>
      <c r="R12" s="12"/>
      <c r="S12" s="4"/>
      <c r="T12" s="4">
        <f>SUM(OSRRefT13x_0)</f>
        <v>928096</v>
      </c>
      <c r="U12" s="4"/>
      <c r="V12" s="12"/>
      <c r="W12" s="4"/>
      <c r="X12" s="4">
        <f t="shared" ref="X12:X14" si="2">+P12-T12</f>
        <v>-594198.15999999992</v>
      </c>
      <c r="Y12" s="4"/>
      <c r="Z12" s="12">
        <f t="shared" ref="Z12:Z14" si="3">IF(T12=0,0,X12/T12)</f>
        <v>-0.64023351032651787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-1226.58</f>
        <v>-1226.58</v>
      </c>
      <c r="E13" s="2"/>
      <c r="F13" s="19"/>
      <c r="G13" s="2"/>
      <c r="H13" s="2">
        <v>7944</v>
      </c>
      <c r="I13" s="2"/>
      <c r="J13" s="19"/>
      <c r="K13" s="2"/>
      <c r="L13" s="2">
        <f t="shared" si="0"/>
        <v>-9170.58</v>
      </c>
      <c r="M13" s="2"/>
      <c r="N13" s="19">
        <f t="shared" si="1"/>
        <v>-1.1544033232628399</v>
      </c>
      <c r="O13" s="11"/>
      <c r="P13" s="2">
        <f>--210130.57</f>
        <v>210130.57</v>
      </c>
      <c r="Q13" s="2"/>
      <c r="R13" s="19"/>
      <c r="S13" s="2"/>
      <c r="T13" s="2">
        <v>928096</v>
      </c>
      <c r="U13" s="2"/>
      <c r="V13" s="19"/>
      <c r="W13" s="2"/>
      <c r="X13" s="2">
        <f t="shared" si="2"/>
        <v>-717965.42999999993</v>
      </c>
      <c r="Y13" s="2"/>
      <c r="Z13" s="19">
        <f t="shared" si="3"/>
        <v>-0.77358961788435676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-1112.96</f>
        <v>-1112.96</v>
      </c>
      <c r="E14" s="2"/>
      <c r="F14" s="19"/>
      <c r="G14" s="2"/>
      <c r="H14" s="2"/>
      <c r="I14" s="2"/>
      <c r="J14" s="19"/>
      <c r="K14" s="2"/>
      <c r="L14" s="2">
        <f t="shared" si="0"/>
        <v>-1112.96</v>
      </c>
      <c r="M14" s="2"/>
      <c r="N14" s="19">
        <f t="shared" si="1"/>
        <v>0</v>
      </c>
      <c r="O14" s="11"/>
      <c r="P14" s="2">
        <f>--123767.27</f>
        <v>123767.27</v>
      </c>
      <c r="Q14" s="2"/>
      <c r="R14" s="19"/>
      <c r="S14" s="2"/>
      <c r="T14" s="2"/>
      <c r="U14" s="2"/>
      <c r="V14" s="19"/>
      <c r="W14" s="2"/>
      <c r="X14" s="2">
        <f t="shared" si="2"/>
        <v>123767.27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-2535.46</v>
      </c>
      <c r="E16" s="4"/>
      <c r="F16" s="12">
        <f t="shared" ref="F16:F17" si="4">IF(D$12=0,0,D16/D$12)</f>
        <v>1.0837429580173881</v>
      </c>
      <c r="G16" s="4"/>
      <c r="H16" s="4">
        <f>SUM(OSRRefH16x_0)</f>
        <v>5759</v>
      </c>
      <c r="I16" s="4"/>
      <c r="J16" s="12">
        <f t="shared" ref="J16:J17" si="5">IF(H$12=0,0,H16/H$12)</f>
        <v>0.72494964753272906</v>
      </c>
      <c r="K16" s="4"/>
      <c r="L16" s="4">
        <f t="shared" ref="L16:L17" si="6">+D16-H16</f>
        <v>-8294.4599999999991</v>
      </c>
      <c r="M16" s="4"/>
      <c r="N16" s="12">
        <f t="shared" ref="N16:N17" si="7">IF(H16=0,0,L16/H16)</f>
        <v>-1.440260461885744</v>
      </c>
      <c r="O16" s="10"/>
      <c r="P16" s="4">
        <f>SUM(OSRRefP16x_0)</f>
        <v>251202.91</v>
      </c>
      <c r="Q16" s="4"/>
      <c r="R16" s="12">
        <f t="shared" ref="R16:R17" si="8">IF(P$12=0,0,P16/P$12)</f>
        <v>0.75233463624682329</v>
      </c>
      <c r="S16" s="4"/>
      <c r="T16" s="4">
        <f>SUM(OSRRefT16x_0)</f>
        <v>672870</v>
      </c>
      <c r="U16" s="4"/>
      <c r="V16" s="12">
        <f t="shared" ref="V16:V17" si="9">IF(T$12=0,0,T16/T$12)</f>
        <v>0.72500043098989764</v>
      </c>
      <c r="W16" s="4"/>
      <c r="X16" s="4">
        <f t="shared" ref="X16:X17" si="10">+P16-T16</f>
        <v>-421667.08999999997</v>
      </c>
      <c r="Y16" s="4"/>
      <c r="Z16" s="12">
        <f t="shared" ref="Z16:Z17" si="11">IF(T16=0,0,X16/T16)</f>
        <v>-0.62666947553019148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>
        <v>-2535.46</v>
      </c>
      <c r="E17" s="2"/>
      <c r="F17" s="19">
        <f t="shared" si="4"/>
        <v>1.0837429580173881</v>
      </c>
      <c r="G17" s="2"/>
      <c r="H17" s="2">
        <v>5759</v>
      </c>
      <c r="I17" s="2"/>
      <c r="J17" s="19">
        <f t="shared" si="5"/>
        <v>0.72494964753272906</v>
      </c>
      <c r="K17" s="2"/>
      <c r="L17" s="2">
        <f t="shared" si="6"/>
        <v>-8294.4599999999991</v>
      </c>
      <c r="M17" s="2"/>
      <c r="N17" s="19">
        <f t="shared" si="7"/>
        <v>-1.440260461885744</v>
      </c>
      <c r="O17" s="11"/>
      <c r="P17" s="2">
        <v>251202.91</v>
      </c>
      <c r="Q17" s="2"/>
      <c r="R17" s="19">
        <f t="shared" si="8"/>
        <v>0.75233463624682329</v>
      </c>
      <c r="S17" s="2"/>
      <c r="T17" s="2">
        <v>672870</v>
      </c>
      <c r="U17" s="2"/>
      <c r="V17" s="19">
        <f t="shared" si="9"/>
        <v>0.72500043098989764</v>
      </c>
      <c r="W17" s="2"/>
      <c r="X17" s="2">
        <f t="shared" si="10"/>
        <v>-421667.08999999997</v>
      </c>
      <c r="Y17" s="2"/>
      <c r="Z17" s="19">
        <f t="shared" si="11"/>
        <v>-0.62666947553019148</v>
      </c>
    </row>
    <row r="18" spans="1:26" x14ac:dyDescent="0.3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">
      <c r="A19" s="10"/>
      <c r="B19" s="26" t="s">
        <v>108</v>
      </c>
      <c r="C19" s="26"/>
      <c r="D19" s="20">
        <f>D12-D16</f>
        <v>195.92000000000007</v>
      </c>
      <c r="E19" s="13"/>
      <c r="F19" s="22">
        <f>IF(D$12=0,0,D19/D$12)</f>
        <v>-8.3742958017388069E-2</v>
      </c>
      <c r="G19" s="13"/>
      <c r="H19" s="20">
        <f>H12-H16</f>
        <v>2185</v>
      </c>
      <c r="I19" s="13"/>
      <c r="J19" s="22">
        <f>IF(H$12=0,0,H19/H$12)</f>
        <v>0.27505035246727089</v>
      </c>
      <c r="K19" s="16"/>
      <c r="L19" s="20">
        <f>+D19-H19</f>
        <v>-1989.08</v>
      </c>
      <c r="M19" s="16"/>
      <c r="N19" s="22">
        <f>IF(H19=0,0,L19/H19)</f>
        <v>-0.91033409610983973</v>
      </c>
      <c r="O19" s="25"/>
      <c r="P19" s="20">
        <f>P12-P16</f>
        <v>82694.930000000022</v>
      </c>
      <c r="Q19" s="13"/>
      <c r="R19" s="22">
        <f>IF(P$12=0,0,P19/P$12)</f>
        <v>0.24766536375317677</v>
      </c>
      <c r="S19" s="13"/>
      <c r="T19" s="20">
        <f>T12-T16</f>
        <v>255226</v>
      </c>
      <c r="U19" s="13"/>
      <c r="V19" s="22">
        <f>IF(T$12=0,0,T19/T$12)</f>
        <v>0.27499956901010242</v>
      </c>
      <c r="W19" s="16"/>
      <c r="X19" s="20">
        <f>+P19-T19</f>
        <v>-172531.06999999998</v>
      </c>
      <c r="Y19" s="16"/>
      <c r="Z19" s="22">
        <f>IF(T19=0,0,X19/T19)</f>
        <v>-0.67599331572802135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1">
        <f>SUM(0)</f>
        <v>0</v>
      </c>
      <c r="E21" s="21"/>
      <c r="F21" s="32">
        <f>IF(D$12=0,0,D21/D$12)</f>
        <v>0</v>
      </c>
      <c r="G21" s="21"/>
      <c r="H21" s="21">
        <f>SUM(0)</f>
        <v>0</v>
      </c>
      <c r="I21" s="21"/>
      <c r="J21" s="32">
        <f>IF(H$12=0,0,H21/H$12)</f>
        <v>0</v>
      </c>
      <c r="K21" s="4"/>
      <c r="L21" s="21">
        <f>+D21-H21</f>
        <v>0</v>
      </c>
      <c r="M21" s="4"/>
      <c r="N21" s="32">
        <f>IF(H21=0,0,L21/H21)</f>
        <v>0</v>
      </c>
      <c r="O21" s="10"/>
      <c r="P21" s="21">
        <f>SUM(0)</f>
        <v>0</v>
      </c>
      <c r="Q21" s="21"/>
      <c r="R21" s="32">
        <f>IF(P$12=0,0,P21/P$12)</f>
        <v>0</v>
      </c>
      <c r="S21" s="21"/>
      <c r="T21" s="21">
        <f>SUM(0)</f>
        <v>0</v>
      </c>
      <c r="U21" s="21"/>
      <c r="V21" s="32">
        <f>IF(T$12=0,0,T21/T$12)</f>
        <v>0</v>
      </c>
      <c r="W21" s="4"/>
      <c r="X21" s="21">
        <f>+P21-T21</f>
        <v>0</v>
      </c>
      <c r="Y21" s="4"/>
      <c r="Z21" s="32">
        <f>IF(T21=0,0,X21/T21)</f>
        <v>0</v>
      </c>
    </row>
    <row r="22" spans="1:26" s="55" customFormat="1" x14ac:dyDescent="0.3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293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277</v>
      </c>
      <c r="C25" s="26"/>
      <c r="D25" s="20">
        <f>+D19-D21+D23</f>
        <v>195.92000000000007</v>
      </c>
      <c r="E25" s="13"/>
      <c r="F25" s="22">
        <f>IF(D$12=0,0,D25/D$12)</f>
        <v>-8.3742958017388069E-2</v>
      </c>
      <c r="G25" s="13"/>
      <c r="H25" s="20">
        <f>+H19-H21+H23</f>
        <v>2185</v>
      </c>
      <c r="I25" s="13"/>
      <c r="J25" s="22">
        <f>IF(H$12=0,0,H25/H$12)</f>
        <v>0.27505035246727089</v>
      </c>
      <c r="K25" s="16"/>
      <c r="L25" s="20">
        <f>+D25-H25</f>
        <v>-1989.08</v>
      </c>
      <c r="M25" s="16"/>
      <c r="N25" s="22">
        <f>IF(H25=0,0,L25/H25)</f>
        <v>-0.91033409610983973</v>
      </c>
      <c r="O25" s="25"/>
      <c r="P25" s="20">
        <f>+P19-P21+P23</f>
        <v>82694.930000000022</v>
      </c>
      <c r="Q25" s="13"/>
      <c r="R25" s="22">
        <f>IF(P$12=0,0,P25/P$12)</f>
        <v>0.24766536375317677</v>
      </c>
      <c r="S25" s="13"/>
      <c r="T25" s="20">
        <f>+T19-T21+T23</f>
        <v>255226</v>
      </c>
      <c r="U25" s="13"/>
      <c r="V25" s="22">
        <f>IF(T$12=0,0,T25/T$12)</f>
        <v>0.27499956901010242</v>
      </c>
      <c r="W25" s="16"/>
      <c r="X25" s="20">
        <f>+P25-T25</f>
        <v>-172531.06999999998</v>
      </c>
      <c r="Y25" s="16"/>
      <c r="Z25" s="22">
        <f>IF(T25=0,0,X25/T25)</f>
        <v>-0.67599331572802135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52"/>
      <c r="B27" s="10" t="s">
        <v>128</v>
      </c>
      <c r="C27" s="10"/>
      <c r="D27" s="4">
        <v>141.72999999999999</v>
      </c>
      <c r="E27" s="4"/>
      <c r="F27" s="12">
        <f>IF(D$12=0,0,D27/D$12)</f>
        <v>-6.0580285013293211E-2</v>
      </c>
      <c r="G27" s="4"/>
      <c r="H27" s="4">
        <v>5131</v>
      </c>
      <c r="I27" s="4"/>
      <c r="J27" s="12">
        <f>IF(H$12=0,0,H27/H$12)</f>
        <v>0.64589627391742199</v>
      </c>
      <c r="K27" s="4"/>
      <c r="L27" s="4">
        <f>+D27-H27</f>
        <v>-4989.2700000000004</v>
      </c>
      <c r="M27" s="4"/>
      <c r="N27" s="12">
        <f>IF(H27=0,0,L27/H27)</f>
        <v>-0.9723777041512377</v>
      </c>
      <c r="O27" s="10"/>
      <c r="P27" s="4">
        <v>40191.550000000003</v>
      </c>
      <c r="Q27" s="4"/>
      <c r="R27" s="12">
        <f>IF(P$12=0,0,P27/P$12)</f>
        <v>0.12037079964338793</v>
      </c>
      <c r="S27" s="4"/>
      <c r="T27" s="4">
        <v>120161</v>
      </c>
      <c r="U27" s="4"/>
      <c r="V27" s="12">
        <f>IF(T$12=0,0,T27/T$12)</f>
        <v>0.12947044271282282</v>
      </c>
      <c r="W27" s="4"/>
      <c r="X27" s="4">
        <f>+P27-T27</f>
        <v>-79969.45</v>
      </c>
      <c r="Y27" s="4"/>
      <c r="Z27" s="12">
        <f>IF(T27=0,0,X27/T27)</f>
        <v>-0.66551917843559893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35">
      <c r="A29" s="10"/>
      <c r="B29" s="26" t="s">
        <v>126</v>
      </c>
      <c r="C29" s="26"/>
      <c r="D29" s="31">
        <f>+D25-D27</f>
        <v>54.190000000000083</v>
      </c>
      <c r="E29" s="13"/>
      <c r="F29" s="30">
        <f>IF(D$12=0,0,D29/D$12)</f>
        <v>-2.3162673004094858E-2</v>
      </c>
      <c r="G29" s="13"/>
      <c r="H29" s="31">
        <f>+H25-H27</f>
        <v>-2946</v>
      </c>
      <c r="I29" s="13"/>
      <c r="J29" s="30">
        <f>IF(H$12=0,0,H29/H$12)</f>
        <v>-0.37084592145015105</v>
      </c>
      <c r="K29" s="16"/>
      <c r="L29" s="31">
        <f>D29-H29</f>
        <v>3000.19</v>
      </c>
      <c r="M29" s="16"/>
      <c r="N29" s="30">
        <f>IF(H29=0,0,L29/H29)</f>
        <v>-1.0183944331296673</v>
      </c>
      <c r="O29" s="25"/>
      <c r="P29" s="31">
        <f>+P25-P27</f>
        <v>42503.380000000019</v>
      </c>
      <c r="Q29" s="13"/>
      <c r="R29" s="30">
        <f>IF(P$12=0,0,P29/P$12)</f>
        <v>0.12729456410978884</v>
      </c>
      <c r="S29" s="13"/>
      <c r="T29" s="31">
        <f>+T25-T27</f>
        <v>135065</v>
      </c>
      <c r="U29" s="13"/>
      <c r="V29" s="30">
        <f>IF(T$12=0,0,T29/T$12)</f>
        <v>0.1455291262972796</v>
      </c>
      <c r="W29" s="16"/>
      <c r="X29" s="31">
        <f>P29-T29</f>
        <v>-92561.619999999981</v>
      </c>
      <c r="Y29" s="16"/>
      <c r="Z29" s="30">
        <f>IF(T29=0,0,X29/T29)</f>
        <v>-0.68531166475400718</v>
      </c>
    </row>
    <row r="30" spans="1:26" ht="15" thickTop="1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294</v>
      </c>
      <c r="C32" s="26"/>
      <c r="D32" s="35">
        <f>SUM(D29:D31)</f>
        <v>54.190000000000083</v>
      </c>
      <c r="E32" s="13"/>
      <c r="F32" s="34">
        <f>IF(D$12=0,0,D32/D$12)</f>
        <v>-2.3162673004094858E-2</v>
      </c>
      <c r="G32" s="13"/>
      <c r="H32" s="35">
        <f>SUM(H29:H31)</f>
        <v>-2946</v>
      </c>
      <c r="I32" s="13"/>
      <c r="J32" s="34">
        <f>IF(H$12=0,0,H32/H$12)</f>
        <v>-0.37084592145015105</v>
      </c>
      <c r="K32" s="16"/>
      <c r="L32" s="35">
        <f>+D32-H32</f>
        <v>3000.19</v>
      </c>
      <c r="M32" s="16"/>
      <c r="N32" s="34">
        <f>IF(H32=0,0,L32/H32)</f>
        <v>-1.0183944331296673</v>
      </c>
      <c r="O32" s="25"/>
      <c r="P32" s="35">
        <f>SUM(P29:P31)</f>
        <v>42503.380000000019</v>
      </c>
      <c r="Q32" s="13"/>
      <c r="R32" s="34">
        <f>IF(P$12=0,0,P32/P$12)</f>
        <v>0.12729456410978884</v>
      </c>
      <c r="S32" s="13"/>
      <c r="T32" s="35">
        <f>SUM(T29:T31)</f>
        <v>135065</v>
      </c>
      <c r="U32" s="13"/>
      <c r="V32" s="34">
        <f>IF(T$12=0,0,T32/T$12)</f>
        <v>0.1455291262972796</v>
      </c>
      <c r="W32" s="16"/>
      <c r="X32" s="35">
        <f>+P32-T32</f>
        <v>-92561.619999999981</v>
      </c>
      <c r="Y32" s="16"/>
      <c r="Z32" s="34">
        <f>IF(T32=0,0,X32/T32)</f>
        <v>-0.68531166475400718</v>
      </c>
    </row>
    <row r="33" spans="1:24" ht="15" thickTop="1" x14ac:dyDescent="0.3">
      <c r="A33" s="9"/>
      <c r="C33" s="9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61">
        <v>44575.842125659721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62" t="s">
        <v>56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A36" s="9"/>
      <c r="B36" s="53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4" x14ac:dyDescent="0.3"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22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430899.16</v>
      </c>
      <c r="E12" s="4"/>
      <c r="F12" s="12"/>
      <c r="G12" s="4"/>
      <c r="H12" s="4">
        <f>SUM(OSRRefH13x_0)</f>
        <v>308306</v>
      </c>
      <c r="I12" s="4"/>
      <c r="J12" s="12"/>
      <c r="K12" s="4"/>
      <c r="L12" s="4">
        <f t="shared" ref="L12:L17" si="0">+D12-H12</f>
        <v>122593.15999999997</v>
      </c>
      <c r="M12" s="4"/>
      <c r="N12" s="12">
        <f t="shared" ref="N12:N17" si="1">IF(H12=0,0,L12/H12)</f>
        <v>0.39763468761555071</v>
      </c>
      <c r="O12" s="10"/>
      <c r="P12" s="4">
        <f>SUM(OSRRefP13x_0)</f>
        <v>2068633.4899999998</v>
      </c>
      <c r="Q12" s="4"/>
      <c r="R12" s="12"/>
      <c r="S12" s="4"/>
      <c r="T12" s="4">
        <f>SUM(OSRRefT13x_0)</f>
        <v>1681923</v>
      </c>
      <c r="U12" s="4"/>
      <c r="V12" s="12"/>
      <c r="W12" s="4"/>
      <c r="X12" s="4">
        <f t="shared" ref="X12:X17" si="2">+P12-T12</f>
        <v>386710.48999999976</v>
      </c>
      <c r="Y12" s="4"/>
      <c r="Z12" s="12">
        <f t="shared" ref="Z12:Z17" si="3">IF(T12=0,0,X12/T12)</f>
        <v>0.22992163731633361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--449868.85</f>
        <v>449868.85</v>
      </c>
      <c r="E13" s="2"/>
      <c r="F13" s="19"/>
      <c r="G13" s="2"/>
      <c r="H13" s="2">
        <v>308306</v>
      </c>
      <c r="I13" s="2"/>
      <c r="J13" s="19"/>
      <c r="K13" s="2"/>
      <c r="L13" s="2">
        <f t="shared" si="0"/>
        <v>141562.84999999998</v>
      </c>
      <c r="M13" s="2"/>
      <c r="N13" s="19">
        <f t="shared" si="1"/>
        <v>0.45916346097708116</v>
      </c>
      <c r="O13" s="11"/>
      <c r="P13" s="2">
        <f>--1959501.16</f>
        <v>1959501.16</v>
      </c>
      <c r="Q13" s="2"/>
      <c r="R13" s="19"/>
      <c r="S13" s="2"/>
      <c r="T13" s="2">
        <v>1681923</v>
      </c>
      <c r="U13" s="2"/>
      <c r="V13" s="19"/>
      <c r="W13" s="2"/>
      <c r="X13" s="2">
        <f t="shared" si="2"/>
        <v>277578.15999999992</v>
      </c>
      <c r="Y13" s="2"/>
      <c r="Z13" s="19">
        <f t="shared" si="3"/>
        <v>0.16503618774462323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--43641.56</f>
        <v>43641.56</v>
      </c>
      <c r="E14" s="2"/>
      <c r="F14" s="19"/>
      <c r="G14" s="2"/>
      <c r="H14" s="2"/>
      <c r="I14" s="2"/>
      <c r="J14" s="19"/>
      <c r="K14" s="2"/>
      <c r="L14" s="2">
        <f t="shared" si="0"/>
        <v>43641.56</v>
      </c>
      <c r="M14" s="2"/>
      <c r="N14" s="19">
        <f t="shared" si="1"/>
        <v>0</v>
      </c>
      <c r="O14" s="11"/>
      <c r="P14" s="2">
        <f>--228183.95</f>
        <v>228183.95</v>
      </c>
      <c r="Q14" s="2"/>
      <c r="R14" s="19"/>
      <c r="S14" s="2"/>
      <c r="T14" s="2"/>
      <c r="U14" s="2"/>
      <c r="V14" s="19"/>
      <c r="W14" s="2"/>
      <c r="X14" s="2">
        <f t="shared" si="2"/>
        <v>228183.95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-14419.4</f>
        <v>-14419.4</v>
      </c>
      <c r="E15" s="2"/>
      <c r="F15" s="19"/>
      <c r="G15" s="2"/>
      <c r="H15" s="2"/>
      <c r="I15" s="2"/>
      <c r="J15" s="19"/>
      <c r="K15" s="2"/>
      <c r="L15" s="2">
        <f t="shared" si="0"/>
        <v>-14419.4</v>
      </c>
      <c r="M15" s="2"/>
      <c r="N15" s="19">
        <f t="shared" si="1"/>
        <v>0</v>
      </c>
      <c r="O15" s="11"/>
      <c r="P15" s="2">
        <f>-56596.3</f>
        <v>-56596.3</v>
      </c>
      <c r="Q15" s="2"/>
      <c r="R15" s="19"/>
      <c r="S15" s="2"/>
      <c r="T15" s="2"/>
      <c r="U15" s="2"/>
      <c r="V15" s="19"/>
      <c r="W15" s="2"/>
      <c r="X15" s="2">
        <f t="shared" si="2"/>
        <v>-56596.3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-168.79</f>
        <v>-168.79</v>
      </c>
      <c r="E16" s="2"/>
      <c r="F16" s="19"/>
      <c r="G16" s="2"/>
      <c r="H16" s="2"/>
      <c r="I16" s="2"/>
      <c r="J16" s="19"/>
      <c r="K16" s="2"/>
      <c r="L16" s="2">
        <f t="shared" si="0"/>
        <v>-168.79</v>
      </c>
      <c r="M16" s="2"/>
      <c r="N16" s="19">
        <f t="shared" si="1"/>
        <v>0</v>
      </c>
      <c r="O16" s="11"/>
      <c r="P16" s="2">
        <f>-1276.2</f>
        <v>-1276.2</v>
      </c>
      <c r="Q16" s="2"/>
      <c r="R16" s="19"/>
      <c r="S16" s="2"/>
      <c r="T16" s="2"/>
      <c r="U16" s="2"/>
      <c r="V16" s="19"/>
      <c r="W16" s="2"/>
      <c r="X16" s="2">
        <f t="shared" si="2"/>
        <v>-1276.2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-48023.06</f>
        <v>-48023.06</v>
      </c>
      <c r="E17" s="2"/>
      <c r="F17" s="19"/>
      <c r="G17" s="2"/>
      <c r="H17" s="2"/>
      <c r="I17" s="2"/>
      <c r="J17" s="19"/>
      <c r="K17" s="2"/>
      <c r="L17" s="2">
        <f t="shared" si="0"/>
        <v>-48023.06</v>
      </c>
      <c r="M17" s="2"/>
      <c r="N17" s="19">
        <f t="shared" si="1"/>
        <v>0</v>
      </c>
      <c r="O17" s="11"/>
      <c r="P17" s="2">
        <f>-61179.12</f>
        <v>-61179.12</v>
      </c>
      <c r="Q17" s="2"/>
      <c r="R17" s="19"/>
      <c r="S17" s="2"/>
      <c r="T17" s="2"/>
      <c r="U17" s="2"/>
      <c r="V17" s="19"/>
      <c r="W17" s="2"/>
      <c r="X17" s="2">
        <f t="shared" si="2"/>
        <v>-61179.12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212397.71999999997</v>
      </c>
      <c r="E19" s="4"/>
      <c r="F19" s="12">
        <f t="shared" ref="F19:F38" si="4">IF(D$12=0,0,D19/D$12)</f>
        <v>0.49291746124545704</v>
      </c>
      <c r="G19" s="4"/>
      <c r="H19" s="4">
        <f>SUM(OSRRefH16x_0)</f>
        <v>153260</v>
      </c>
      <c r="I19" s="4"/>
      <c r="J19" s="12">
        <f t="shared" ref="J19:J38" si="5">IF(H$12=0,0,H19/H$12)</f>
        <v>0.49710352701536786</v>
      </c>
      <c r="K19" s="4"/>
      <c r="L19" s="4">
        <f t="shared" ref="L19:L38" si="6">+D19-H19</f>
        <v>59137.719999999972</v>
      </c>
      <c r="M19" s="4"/>
      <c r="N19" s="12">
        <f t="shared" ref="N19:N38" si="7">IF(H19=0,0,L19/H19)</f>
        <v>0.38586532689547154</v>
      </c>
      <c r="O19" s="10"/>
      <c r="P19" s="4">
        <f>SUM(OSRRefP16x_0)</f>
        <v>1017450.85</v>
      </c>
      <c r="Q19" s="4"/>
      <c r="R19" s="12">
        <f t="shared" ref="R19:R38" si="8">IF(P$12=0,0,P19/P$12)</f>
        <v>0.49184684233261644</v>
      </c>
      <c r="S19" s="4"/>
      <c r="T19" s="4">
        <f>SUM(OSRRefT16x_0)</f>
        <v>868046</v>
      </c>
      <c r="U19" s="4"/>
      <c r="V19" s="12">
        <f t="shared" ref="V19:V38" si="9">IF(T$12=0,0,T19/T$12)</f>
        <v>0.51610329367039987</v>
      </c>
      <c r="W19" s="4"/>
      <c r="X19" s="4">
        <f t="shared" ref="X19:X38" si="10">+P19-T19</f>
        <v>149404.84999999998</v>
      </c>
      <c r="Y19" s="4"/>
      <c r="Z19" s="12">
        <f t="shared" ref="Z19:Z38" si="11">IF(T19=0,0,X19/T19)</f>
        <v>0.17211628185603065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211156.58</v>
      </c>
      <c r="E20" s="2"/>
      <c r="F20" s="19">
        <f t="shared" si="4"/>
        <v>0.49003711216331913</v>
      </c>
      <c r="G20" s="2"/>
      <c r="H20" s="2">
        <v>153260</v>
      </c>
      <c r="I20" s="2"/>
      <c r="J20" s="19">
        <f t="shared" si="5"/>
        <v>0.49710352701536786</v>
      </c>
      <c r="K20" s="2"/>
      <c r="L20" s="2">
        <f t="shared" si="6"/>
        <v>57896.579999999987</v>
      </c>
      <c r="M20" s="2"/>
      <c r="N20" s="19">
        <f t="shared" si="7"/>
        <v>0.377767062508156</v>
      </c>
      <c r="O20" s="11"/>
      <c r="P20" s="2">
        <v>1045215.4</v>
      </c>
      <c r="Q20" s="2"/>
      <c r="R20" s="19">
        <f t="shared" si="8"/>
        <v>0.50526852874261463</v>
      </c>
      <c r="S20" s="2"/>
      <c r="T20" s="2">
        <v>868046</v>
      </c>
      <c r="U20" s="2"/>
      <c r="V20" s="19">
        <f t="shared" si="9"/>
        <v>0.51610329367039987</v>
      </c>
      <c r="W20" s="2"/>
      <c r="X20" s="2">
        <f t="shared" si="10"/>
        <v>177169.40000000002</v>
      </c>
      <c r="Y20" s="2"/>
      <c r="Z20" s="19">
        <f t="shared" si="11"/>
        <v>0.20410139554816223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"5043", " - ", "PURCHASES @ COST-CARDS")</f>
        <v xml:space="preserve">          5043 - PURCHASES @ COST-CARDS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"5200", " - ", "PURCHASES OFFSET")</f>
        <v xml:space="preserve">          5200 - PURCHASES OFFSET</v>
      </c>
      <c r="C30" s="11"/>
      <c r="D30" s="2">
        <v>-219682.04</v>
      </c>
      <c r="E30" s="2"/>
      <c r="F30" s="19">
        <f t="shared" si="4"/>
        <v>-0.50982239092784498</v>
      </c>
      <c r="G30" s="2"/>
      <c r="H30" s="2"/>
      <c r="I30" s="2"/>
      <c r="J30" s="19">
        <f t="shared" si="5"/>
        <v>0</v>
      </c>
      <c r="K30" s="2"/>
      <c r="L30" s="2">
        <f t="shared" si="6"/>
        <v>-219682.04</v>
      </c>
      <c r="M30" s="2"/>
      <c r="N30" s="19">
        <f t="shared" si="7"/>
        <v>0</v>
      </c>
      <c r="O30" s="11"/>
      <c r="P30" s="2">
        <v>-1077158.29</v>
      </c>
      <c r="Q30" s="2"/>
      <c r="R30" s="19">
        <f t="shared" si="8"/>
        <v>-0.52071007029862992</v>
      </c>
      <c r="S30" s="2"/>
      <c r="T30" s="2"/>
      <c r="U30" s="2"/>
      <c r="V30" s="19">
        <f t="shared" si="9"/>
        <v>0</v>
      </c>
      <c r="W30" s="2"/>
      <c r="X30" s="2">
        <f t="shared" si="10"/>
        <v>-1077158.29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"5300", " - ", "COG$ OFFSET")</f>
        <v xml:space="preserve">          5300 - COG$ OFFSET</v>
      </c>
      <c r="C31" s="11"/>
      <c r="D31" s="2">
        <v>212397.72</v>
      </c>
      <c r="E31" s="2"/>
      <c r="F31" s="19">
        <f t="shared" si="4"/>
        <v>0.4929174612454571</v>
      </c>
      <c r="G31" s="2"/>
      <c r="H31" s="2"/>
      <c r="I31" s="2"/>
      <c r="J31" s="19">
        <f t="shared" si="5"/>
        <v>0</v>
      </c>
      <c r="K31" s="2"/>
      <c r="L31" s="2">
        <f t="shared" si="6"/>
        <v>212397.72</v>
      </c>
      <c r="M31" s="2"/>
      <c r="N31" s="19">
        <f t="shared" si="7"/>
        <v>0</v>
      </c>
      <c r="O31" s="11"/>
      <c r="P31" s="2">
        <v>1017450.85</v>
      </c>
      <c r="Q31" s="2"/>
      <c r="R31" s="19">
        <f t="shared" si="8"/>
        <v>0.49184684233261644</v>
      </c>
      <c r="S31" s="2"/>
      <c r="T31" s="2"/>
      <c r="U31" s="2"/>
      <c r="V31" s="19">
        <f t="shared" si="9"/>
        <v>0</v>
      </c>
      <c r="W31" s="2"/>
      <c r="X31" s="2">
        <f t="shared" si="10"/>
        <v>1017450.85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"5500", " - ", "FREIGHT-IN")</f>
        <v xml:space="preserve">          5500 - FREIGHT-IN</v>
      </c>
      <c r="C32" s="11"/>
      <c r="D32" s="2">
        <v>8525.4599999999991</v>
      </c>
      <c r="E32" s="2"/>
      <c r="F32" s="19">
        <f t="shared" si="4"/>
        <v>1.9785278764525786E-2</v>
      </c>
      <c r="G32" s="2"/>
      <c r="H32" s="2"/>
      <c r="I32" s="2"/>
      <c r="J32" s="19">
        <f t="shared" si="5"/>
        <v>0</v>
      </c>
      <c r="K32" s="2"/>
      <c r="L32" s="2">
        <f t="shared" si="6"/>
        <v>8525.4599999999991</v>
      </c>
      <c r="M32" s="2"/>
      <c r="N32" s="19">
        <f t="shared" si="7"/>
        <v>0</v>
      </c>
      <c r="O32" s="11"/>
      <c r="P32" s="2">
        <v>31942.89</v>
      </c>
      <c r="Q32" s="2"/>
      <c r="R32" s="19">
        <f t="shared" si="8"/>
        <v>1.544154155601532E-2</v>
      </c>
      <c r="S32" s="2"/>
      <c r="T32" s="2"/>
      <c r="U32" s="2"/>
      <c r="V32" s="19">
        <f t="shared" si="9"/>
        <v>0</v>
      </c>
      <c r="W32" s="2"/>
      <c r="X32" s="2">
        <f t="shared" si="10"/>
        <v>31942.89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"5527", " - ", "FREIGHT-IN-SCHOOL SUPPLIES")</f>
        <v xml:space="preserve">          5527 - FREIGHT-IN-SCHOOL SUPPLIES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"5540", " - ", "FREIGHT-IN-LOGO CLOTHING")</f>
        <v xml:space="preserve">          5540 - FREIGHT-IN-LOGO CLOTHING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"5541", " - ", "FREIGHT-IN-LOGO GIFTS")</f>
        <v xml:space="preserve">          5541 - FREIGHT-IN-LOGO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"5542", " - ", "FREIGHT-IN-EVERYDAY GIFTS")</f>
        <v xml:space="preserve">          5542 - FREIGHT-IN-EVERYDAY GIFTS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"5544", " - ", "FREIGHT-IN-ACCESSORIES")</f>
        <v xml:space="preserve">          5544 - FREIGHT-IN-ACCESSORIES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"5545", " - ", "FREIGHT-IN-SPECIAL ORDERS")</f>
        <v xml:space="preserve">          5545 - FREIGHT-IN-SPECIAL ORDERS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x14ac:dyDescent="0.3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10"/>
      <c r="B40" s="26" t="s">
        <v>108</v>
      </c>
      <c r="C40" s="26"/>
      <c r="D40" s="20">
        <f>D12-D19</f>
        <v>218501.44</v>
      </c>
      <c r="E40" s="13"/>
      <c r="F40" s="22">
        <f>IF(D$12=0,0,D40/D$12)</f>
        <v>0.50708253875454301</v>
      </c>
      <c r="G40" s="13"/>
      <c r="H40" s="20">
        <f>H12-H19</f>
        <v>155046</v>
      </c>
      <c r="I40" s="13"/>
      <c r="J40" s="22">
        <f>IF(H$12=0,0,H40/H$12)</f>
        <v>0.50289647298463214</v>
      </c>
      <c r="K40" s="16"/>
      <c r="L40" s="20">
        <f>+D40-H40</f>
        <v>63455.44</v>
      </c>
      <c r="M40" s="16"/>
      <c r="N40" s="22">
        <f>IF(H40=0,0,L40/H40)</f>
        <v>0.40926847516220993</v>
      </c>
      <c r="O40" s="25"/>
      <c r="P40" s="20">
        <f>P12-P19</f>
        <v>1051182.6399999997</v>
      </c>
      <c r="Q40" s="13"/>
      <c r="R40" s="22">
        <f>IF(P$12=0,0,P40/P$12)</f>
        <v>0.50815315766738345</v>
      </c>
      <c r="S40" s="13"/>
      <c r="T40" s="20">
        <f>T12-T19</f>
        <v>813877</v>
      </c>
      <c r="U40" s="13"/>
      <c r="V40" s="22">
        <f>IF(T$12=0,0,T40/T$12)</f>
        <v>0.48389670632960008</v>
      </c>
      <c r="W40" s="16"/>
      <c r="X40" s="20">
        <f>+P40-T40</f>
        <v>237305.63999999966</v>
      </c>
      <c r="Y40" s="16"/>
      <c r="Z40" s="22">
        <f>IF(T40=0,0,X40/T40)</f>
        <v>0.29157432879906875</v>
      </c>
    </row>
    <row r="41" spans="1:26" x14ac:dyDescent="0.3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295</v>
      </c>
      <c r="C42" s="10"/>
      <c r="D42" s="21">
        <f>SUM(OSRRefD22x_0)</f>
        <v>88551.7</v>
      </c>
      <c r="E42" s="21"/>
      <c r="F42" s="32">
        <f t="shared" ref="F42:F52" si="12">IF(D$12=0,0,D42/D$12)</f>
        <v>0.20550446187920163</v>
      </c>
      <c r="G42" s="21"/>
      <c r="H42" s="21">
        <f>SUM(OSRRefH22x_0)</f>
        <v>101370.98195769233</v>
      </c>
      <c r="I42" s="21"/>
      <c r="J42" s="32">
        <f t="shared" ref="J42:J52" si="13">IF(H$12=0,0,H42/H$12)</f>
        <v>0.3287998999620258</v>
      </c>
      <c r="K42" s="4"/>
      <c r="L42" s="21">
        <f t="shared" ref="L42:L52" si="14">+D42-H42</f>
        <v>-12819.281957692336</v>
      </c>
      <c r="M42" s="4"/>
      <c r="N42" s="32">
        <f t="shared" ref="N42:N52" si="15">IF(H42=0,0,L42/H42)</f>
        <v>-0.12645908829256999</v>
      </c>
      <c r="O42" s="10"/>
      <c r="P42" s="21">
        <f>SUM(OSRRefP22x_0)</f>
        <v>555272.76</v>
      </c>
      <c r="Q42" s="21"/>
      <c r="R42" s="32">
        <f t="shared" ref="R42:R52" si="16">IF(P$12=0,0,P42/P$12)</f>
        <v>0.26842491078494529</v>
      </c>
      <c r="S42" s="21"/>
      <c r="T42" s="21">
        <f>SUM(OSRRefT22x_0)</f>
        <v>636256.9837325</v>
      </c>
      <c r="U42" s="21"/>
      <c r="V42" s="32">
        <f t="shared" ref="V42:V52" si="17">IF(T$12=0,0,T42/T$12)</f>
        <v>0.37829138654534128</v>
      </c>
      <c r="W42" s="4"/>
      <c r="X42" s="21">
        <f t="shared" ref="X42:X52" si="18">+P42-T42</f>
        <v>-80984.223732499988</v>
      </c>
      <c r="Y42" s="4"/>
      <c r="Z42" s="32">
        <f t="shared" ref="Z42:Z52" si="19">IF(T42=0,0,X42/T42)</f>
        <v>-0.12728225513128197</v>
      </c>
    </row>
    <row r="43" spans="1:26" s="28" customFormat="1" outlineLevel="1" collapsed="1" x14ac:dyDescent="0.3">
      <c r="A43" s="27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13303.839999999998</v>
      </c>
      <c r="E43" s="1"/>
      <c r="F43" s="5">
        <f t="shared" si="12"/>
        <v>3.0874601844199462E-2</v>
      </c>
      <c r="G43" s="1"/>
      <c r="H43" s="1">
        <f>SUM(OSRRefH22_0x_0)</f>
        <v>20278.174265384623</v>
      </c>
      <c r="I43" s="1"/>
      <c r="J43" s="5">
        <f t="shared" si="13"/>
        <v>6.5772882348655637E-2</v>
      </c>
      <c r="K43" s="1"/>
      <c r="L43" s="1">
        <f t="shared" si="14"/>
        <v>-6974.3342653846248</v>
      </c>
      <c r="M43" s="1"/>
      <c r="N43" s="5">
        <f t="shared" si="15"/>
        <v>-0.3439330471328475</v>
      </c>
      <c r="O43" s="14"/>
      <c r="P43" s="1">
        <f>SUM(OSRRefP22_0x_0)</f>
        <v>86070.180000000008</v>
      </c>
      <c r="Q43" s="1"/>
      <c r="R43" s="5">
        <f t="shared" si="16"/>
        <v>4.1607264126812538E-2</v>
      </c>
      <c r="S43" s="1"/>
      <c r="T43" s="1">
        <f>SUM(OSRRefT22_0x_0)</f>
        <v>122469.0337325</v>
      </c>
      <c r="U43" s="1"/>
      <c r="V43" s="5">
        <f t="shared" si="17"/>
        <v>7.2814887323914348E-2</v>
      </c>
      <c r="W43" s="1"/>
      <c r="X43" s="1">
        <f t="shared" si="18"/>
        <v>-36398.853732499992</v>
      </c>
      <c r="Y43" s="1"/>
      <c r="Z43" s="5">
        <f t="shared" si="19"/>
        <v>-0.29720862999542647</v>
      </c>
    </row>
    <row r="44" spans="1:26" s="24" customFormat="1" hidden="1" outlineLevel="2" x14ac:dyDescent="0.3">
      <c r="A44" s="29"/>
      <c r="B44" s="11" t="str">
        <f>CONCATENATE("          ", "6111", " - ", "F.I.C.A.")</f>
        <v xml:space="preserve">          6111 - F.I.C.A.</v>
      </c>
      <c r="C44" s="11"/>
      <c r="D44" s="6">
        <v>2072.52</v>
      </c>
      <c r="E44" s="2"/>
      <c r="F44" s="7">
        <f t="shared" si="12"/>
        <v>4.8097564172554898E-3</v>
      </c>
      <c r="G44" s="2"/>
      <c r="H44" s="6">
        <v>4980.1308807692303</v>
      </c>
      <c r="I44" s="2"/>
      <c r="J44" s="7">
        <f t="shared" si="13"/>
        <v>1.6153207789563712E-2</v>
      </c>
      <c r="K44" s="2"/>
      <c r="L44" s="6">
        <f t="shared" si="14"/>
        <v>-2907.6108807692303</v>
      </c>
      <c r="M44" s="2"/>
      <c r="N44" s="7">
        <f t="shared" si="15"/>
        <v>-0.58384226245879733</v>
      </c>
      <c r="O44" s="11"/>
      <c r="P44" s="6">
        <v>17257.330000000002</v>
      </c>
      <c r="Q44" s="2"/>
      <c r="R44" s="7">
        <f t="shared" si="16"/>
        <v>8.3423816173448899E-3</v>
      </c>
      <c r="S44" s="2"/>
      <c r="T44" s="6">
        <v>27139.0877325</v>
      </c>
      <c r="U44" s="2"/>
      <c r="V44" s="7">
        <f t="shared" si="17"/>
        <v>1.6135749218305476E-2</v>
      </c>
      <c r="W44" s="2"/>
      <c r="X44" s="6">
        <f t="shared" si="18"/>
        <v>-9881.7577324999984</v>
      </c>
      <c r="Y44" s="2"/>
      <c r="Z44" s="7">
        <f t="shared" si="19"/>
        <v>-0.36411532435801996</v>
      </c>
    </row>
    <row r="45" spans="1:26" s="24" customFormat="1" hidden="1" outlineLevel="2" x14ac:dyDescent="0.3">
      <c r="A45" s="29"/>
      <c r="B45" s="11" t="str">
        <f>CONCATENATE("          ", "6112", " - ", "COMPENSATION INSURANCE")</f>
        <v xml:space="preserve">          6112 - COMPENSATION INSURANCE</v>
      </c>
      <c r="C45" s="11"/>
      <c r="D45" s="6">
        <v>882.76</v>
      </c>
      <c r="E45" s="2"/>
      <c r="F45" s="7">
        <f t="shared" si="12"/>
        <v>2.0486463700695079E-3</v>
      </c>
      <c r="G45" s="2"/>
      <c r="H45" s="6">
        <v>1064.0640000000001</v>
      </c>
      <c r="I45" s="2"/>
      <c r="J45" s="7">
        <f t="shared" si="13"/>
        <v>3.4513243336166018E-3</v>
      </c>
      <c r="K45" s="2"/>
      <c r="L45" s="6">
        <f t="shared" si="14"/>
        <v>-181.30400000000009</v>
      </c>
      <c r="M45" s="2"/>
      <c r="N45" s="7">
        <f t="shared" si="15"/>
        <v>-0.17038824732346933</v>
      </c>
      <c r="O45" s="11"/>
      <c r="P45" s="6">
        <v>5480.88</v>
      </c>
      <c r="Q45" s="2"/>
      <c r="R45" s="7">
        <f t="shared" si="16"/>
        <v>2.6495171940777197E-3</v>
      </c>
      <c r="S45" s="2"/>
      <c r="T45" s="6">
        <v>6662.4480000000003</v>
      </c>
      <c r="U45" s="2"/>
      <c r="V45" s="7">
        <f t="shared" si="17"/>
        <v>3.9612086879125862E-3</v>
      </c>
      <c r="W45" s="2"/>
      <c r="X45" s="6">
        <f t="shared" si="18"/>
        <v>-1181.5680000000002</v>
      </c>
      <c r="Y45" s="2"/>
      <c r="Z45" s="7">
        <f t="shared" si="19"/>
        <v>-0.1773474254508253</v>
      </c>
    </row>
    <row r="46" spans="1:26" s="24" customFormat="1" hidden="1" outlineLevel="2" x14ac:dyDescent="0.3">
      <c r="A46" s="29"/>
      <c r="B46" s="11" t="str">
        <f>CONCATENATE("          ", "6113", " - ", "GROUP INSURANCE")</f>
        <v xml:space="preserve">          6113 - GROUP INSURANCE</v>
      </c>
      <c r="C46" s="11"/>
      <c r="D46" s="6">
        <v>4811.13</v>
      </c>
      <c r="E46" s="2"/>
      <c r="F46" s="7">
        <f t="shared" si="12"/>
        <v>1.1165326940994733E-2</v>
      </c>
      <c r="G46" s="2"/>
      <c r="H46" s="6">
        <v>7772.9230769230799</v>
      </c>
      <c r="I46" s="2"/>
      <c r="J46" s="7">
        <f t="shared" si="13"/>
        <v>2.5211715233965863E-2</v>
      </c>
      <c r="K46" s="2"/>
      <c r="L46" s="6">
        <f t="shared" si="14"/>
        <v>-2961.7930769230798</v>
      </c>
      <c r="M46" s="2"/>
      <c r="N46" s="7">
        <f t="shared" si="15"/>
        <v>-0.38103980286596489</v>
      </c>
      <c r="O46" s="11"/>
      <c r="P46" s="6">
        <v>28900.53</v>
      </c>
      <c r="Q46" s="2"/>
      <c r="R46" s="7">
        <f t="shared" si="16"/>
        <v>1.3970831536716542E-2</v>
      </c>
      <c r="S46" s="2"/>
      <c r="T46" s="6">
        <v>47856</v>
      </c>
      <c r="U46" s="2"/>
      <c r="V46" s="7">
        <f t="shared" si="17"/>
        <v>2.8453145595844755E-2</v>
      </c>
      <c r="W46" s="2"/>
      <c r="X46" s="6">
        <f t="shared" si="18"/>
        <v>-18955.47</v>
      </c>
      <c r="Y46" s="2"/>
      <c r="Z46" s="7">
        <f t="shared" si="19"/>
        <v>-0.39609390672016048</v>
      </c>
    </row>
    <row r="47" spans="1:26" s="24" customFormat="1" hidden="1" outlineLevel="2" x14ac:dyDescent="0.3">
      <c r="A47" s="29"/>
      <c r="B47" s="11" t="str">
        <f>CONCATENATE("          ", "6114", " - ", "STATE UNEMPLOYMENT INSURANCE")</f>
        <v xml:space="preserve">          6114 - STATE UNEMPLOYMENT INSURANCE</v>
      </c>
      <c r="C47" s="11"/>
      <c r="D47" s="6">
        <v>155.08000000000001</v>
      </c>
      <c r="E47" s="2"/>
      <c r="F47" s="7">
        <f t="shared" si="12"/>
        <v>3.5989858973036761E-4</v>
      </c>
      <c r="G47" s="2"/>
      <c r="H47" s="6">
        <v>143.23938461538501</v>
      </c>
      <c r="I47" s="2"/>
      <c r="J47" s="7">
        <f t="shared" si="13"/>
        <v>4.6460135260223612E-4</v>
      </c>
      <c r="K47" s="2"/>
      <c r="L47" s="6">
        <f t="shared" si="14"/>
        <v>11.840615384615006</v>
      </c>
      <c r="M47" s="2"/>
      <c r="N47" s="7">
        <f t="shared" si="15"/>
        <v>8.2663126600330511E-2</v>
      </c>
      <c r="O47" s="11"/>
      <c r="P47" s="6">
        <v>962.85</v>
      </c>
      <c r="Q47" s="2"/>
      <c r="R47" s="7">
        <f t="shared" si="16"/>
        <v>4.6545219569078914E-4</v>
      </c>
      <c r="S47" s="2"/>
      <c r="T47" s="6">
        <v>896.86800000000005</v>
      </c>
      <c r="U47" s="2"/>
      <c r="V47" s="7">
        <f t="shared" si="17"/>
        <v>5.3323963106515577E-4</v>
      </c>
      <c r="W47" s="2"/>
      <c r="X47" s="6">
        <f t="shared" si="18"/>
        <v>65.981999999999971</v>
      </c>
      <c r="Y47" s="2"/>
      <c r="Z47" s="7">
        <f t="shared" si="19"/>
        <v>7.3569354687646304E-2</v>
      </c>
    </row>
    <row r="48" spans="1:26" s="24" customFormat="1" hidden="1" outlineLevel="2" x14ac:dyDescent="0.3">
      <c r="A48" s="29"/>
      <c r="B48" s="11" t="str">
        <f>CONCATENATE("          ", "6115", " - ", "P.E.R.S.")</f>
        <v xml:space="preserve">          6115 - P.E.R.S.</v>
      </c>
      <c r="C48" s="11"/>
      <c r="D48" s="6">
        <v>1642.66</v>
      </c>
      <c r="E48" s="2"/>
      <c r="F48" s="7">
        <f t="shared" si="12"/>
        <v>3.8121680255770287E-3</v>
      </c>
      <c r="G48" s="2"/>
      <c r="H48" s="6">
        <v>1413.3438461538501</v>
      </c>
      <c r="I48" s="2"/>
      <c r="J48" s="7">
        <f t="shared" si="13"/>
        <v>4.5842242647040603E-3</v>
      </c>
      <c r="K48" s="2"/>
      <c r="L48" s="6">
        <f t="shared" si="14"/>
        <v>229.31615384614997</v>
      </c>
      <c r="M48" s="2"/>
      <c r="N48" s="7">
        <f t="shared" si="15"/>
        <v>0.16225078877315724</v>
      </c>
      <c r="O48" s="11"/>
      <c r="P48" s="6">
        <v>10392.99</v>
      </c>
      <c r="Q48" s="2"/>
      <c r="R48" s="7">
        <f t="shared" si="16"/>
        <v>5.0240847642856259E-3</v>
      </c>
      <c r="S48" s="2"/>
      <c r="T48" s="6">
        <v>9186.7350000000006</v>
      </c>
      <c r="U48" s="2"/>
      <c r="V48" s="7">
        <f t="shared" si="17"/>
        <v>5.4620425548613108E-3</v>
      </c>
      <c r="W48" s="2"/>
      <c r="X48" s="6">
        <f t="shared" si="18"/>
        <v>1206.2549999999992</v>
      </c>
      <c r="Y48" s="2"/>
      <c r="Z48" s="7">
        <f t="shared" si="19"/>
        <v>0.1313039942917695</v>
      </c>
    </row>
    <row r="49" spans="1:26" s="24" customFormat="1" hidden="1" outlineLevel="2" x14ac:dyDescent="0.3">
      <c r="A49" s="29"/>
      <c r="B49" s="11" t="str">
        <f>CONCATENATE("          ", "6116", " - ", "EDUCATIONAL BENEFITS")</f>
        <v xml:space="preserve">          6116 - EDUCATIONAL BENEFITS</v>
      </c>
      <c r="C49" s="11"/>
      <c r="D49" s="6"/>
      <c r="E49" s="2"/>
      <c r="F49" s="7">
        <f t="shared" si="12"/>
        <v>0</v>
      </c>
      <c r="G49" s="2"/>
      <c r="H49" s="6">
        <v>0</v>
      </c>
      <c r="I49" s="2"/>
      <c r="J49" s="7">
        <f t="shared" si="13"/>
        <v>0</v>
      </c>
      <c r="K49" s="2"/>
      <c r="L49" s="6">
        <f t="shared" si="14"/>
        <v>0</v>
      </c>
      <c r="M49" s="2"/>
      <c r="N49" s="7">
        <f t="shared" si="15"/>
        <v>0</v>
      </c>
      <c r="O49" s="11"/>
      <c r="P49" s="6"/>
      <c r="Q49" s="2"/>
      <c r="R49" s="7">
        <f t="shared" si="16"/>
        <v>0</v>
      </c>
      <c r="S49" s="2"/>
      <c r="T49" s="6">
        <v>0</v>
      </c>
      <c r="U49" s="2"/>
      <c r="V49" s="7">
        <f t="shared" si="17"/>
        <v>0</v>
      </c>
      <c r="W49" s="2"/>
      <c r="X49" s="6">
        <f t="shared" si="18"/>
        <v>0</v>
      </c>
      <c r="Y49" s="2"/>
      <c r="Z49" s="7">
        <f t="shared" si="19"/>
        <v>0</v>
      </c>
    </row>
    <row r="50" spans="1:26" s="24" customFormat="1" hidden="1" outlineLevel="2" x14ac:dyDescent="0.3">
      <c r="A50" s="29"/>
      <c r="B50" s="11" t="str">
        <f>CONCATENATE("          ", "6118", " - ", "VACATION")</f>
        <v xml:space="preserve">          6118 - VACATION</v>
      </c>
      <c r="C50" s="11"/>
      <c r="D50" s="6">
        <v>1780</v>
      </c>
      <c r="E50" s="2"/>
      <c r="F50" s="7">
        <f t="shared" si="12"/>
        <v>4.1308968901215774E-3</v>
      </c>
      <c r="G50" s="2"/>
      <c r="H50" s="6">
        <v>1233.7115384615399</v>
      </c>
      <c r="I50" s="2"/>
      <c r="J50" s="7">
        <f t="shared" si="13"/>
        <v>4.0015813460053968E-3</v>
      </c>
      <c r="K50" s="2"/>
      <c r="L50" s="6">
        <f t="shared" si="14"/>
        <v>546.28846153846007</v>
      </c>
      <c r="M50" s="2"/>
      <c r="N50" s="7">
        <f t="shared" si="15"/>
        <v>0.44280080432715369</v>
      </c>
      <c r="O50" s="11"/>
      <c r="P50" s="6">
        <v>11130.69</v>
      </c>
      <c r="Q50" s="2"/>
      <c r="R50" s="7">
        <f t="shared" si="16"/>
        <v>5.3806969933567119E-3</v>
      </c>
      <c r="S50" s="2"/>
      <c r="T50" s="6">
        <v>8019.125</v>
      </c>
      <c r="U50" s="2"/>
      <c r="V50" s="7">
        <f t="shared" si="17"/>
        <v>4.7678312265186928E-3</v>
      </c>
      <c r="W50" s="2"/>
      <c r="X50" s="6">
        <f t="shared" si="18"/>
        <v>3111.5650000000005</v>
      </c>
      <c r="Y50" s="2"/>
      <c r="Z50" s="7">
        <f t="shared" si="19"/>
        <v>0.38801801942231856</v>
      </c>
    </row>
    <row r="51" spans="1:26" s="24" customFormat="1" hidden="1" outlineLevel="2" x14ac:dyDescent="0.3">
      <c r="A51" s="29"/>
      <c r="B51" s="11" t="str">
        <f>CONCATENATE("          ", "6119", " - ", "SICK LEAVE")</f>
        <v xml:space="preserve">          6119 - SICK LEAVE</v>
      </c>
      <c r="C51" s="11"/>
      <c r="D51" s="6">
        <v>1165.22</v>
      </c>
      <c r="E51" s="2"/>
      <c r="F51" s="7">
        <f t="shared" si="12"/>
        <v>2.7041593675884634E-3</v>
      </c>
      <c r="G51" s="2"/>
      <c r="H51" s="6">
        <v>2795.7615384615401</v>
      </c>
      <c r="I51" s="2"/>
      <c r="J51" s="7">
        <f t="shared" si="13"/>
        <v>9.0681385975671571E-3</v>
      </c>
      <c r="K51" s="2"/>
      <c r="L51" s="6">
        <f t="shared" si="14"/>
        <v>-1630.5415384615401</v>
      </c>
      <c r="M51" s="2"/>
      <c r="N51" s="7">
        <f t="shared" si="15"/>
        <v>-0.58321910364315233</v>
      </c>
      <c r="O51" s="11"/>
      <c r="P51" s="6">
        <v>7372.33</v>
      </c>
      <c r="Q51" s="2"/>
      <c r="R51" s="7">
        <f t="shared" si="16"/>
        <v>3.5638647617563229E-3</v>
      </c>
      <c r="S51" s="2"/>
      <c r="T51" s="6">
        <v>17458.77</v>
      </c>
      <c r="U51" s="2"/>
      <c r="V51" s="7">
        <f t="shared" si="17"/>
        <v>1.0380243328618493E-2</v>
      </c>
      <c r="W51" s="2"/>
      <c r="X51" s="6">
        <f t="shared" si="18"/>
        <v>-10086.44</v>
      </c>
      <c r="Y51" s="2"/>
      <c r="Z51" s="7">
        <f t="shared" si="19"/>
        <v>-0.57772912982987923</v>
      </c>
    </row>
    <row r="52" spans="1:26" s="24" customFormat="1" hidden="1" outlineLevel="2" x14ac:dyDescent="0.3">
      <c r="A52" s="29"/>
      <c r="B52" s="11" t="str">
        <f>CONCATENATE("          ", "6156", " - ", "EMPLOYEE MEALS")</f>
        <v xml:space="preserve">          6156 - EMPLOYEE MEALS</v>
      </c>
      <c r="C52" s="11"/>
      <c r="D52" s="6">
        <v>794.47</v>
      </c>
      <c r="E52" s="2"/>
      <c r="F52" s="7">
        <f t="shared" si="12"/>
        <v>1.8437492428622978E-3</v>
      </c>
      <c r="G52" s="2"/>
      <c r="H52" s="6">
        <v>875</v>
      </c>
      <c r="I52" s="2"/>
      <c r="J52" s="7">
        <f t="shared" si="13"/>
        <v>2.8380894306306074E-3</v>
      </c>
      <c r="K52" s="2"/>
      <c r="L52" s="6">
        <f t="shared" si="14"/>
        <v>-80.529999999999973</v>
      </c>
      <c r="M52" s="2"/>
      <c r="N52" s="7">
        <f t="shared" si="15"/>
        <v>-9.203428571428568E-2</v>
      </c>
      <c r="O52" s="11"/>
      <c r="P52" s="6">
        <v>4572.58</v>
      </c>
      <c r="Q52" s="2"/>
      <c r="R52" s="7">
        <f t="shared" si="16"/>
        <v>2.2104350635839317E-3</v>
      </c>
      <c r="S52" s="2"/>
      <c r="T52" s="6">
        <v>5250</v>
      </c>
      <c r="U52" s="2"/>
      <c r="V52" s="7">
        <f t="shared" si="17"/>
        <v>3.1214270807878837E-3</v>
      </c>
      <c r="W52" s="2"/>
      <c r="X52" s="6">
        <f t="shared" si="18"/>
        <v>-677.42000000000007</v>
      </c>
      <c r="Y52" s="2"/>
      <c r="Z52" s="7">
        <f t="shared" si="19"/>
        <v>-0.12903238095238095</v>
      </c>
    </row>
    <row r="53" spans="1:26" s="28" customFormat="1" outlineLevel="1" collapsed="1" x14ac:dyDescent="0.3">
      <c r="A53" s="27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59611.81</v>
      </c>
      <c r="E53" s="1"/>
      <c r="F53" s="5">
        <f t="shared" ref="F53:F63" si="20">IF(D$12=0,0,D53/D$12)</f>
        <v>0.13834283176602155</v>
      </c>
      <c r="G53" s="1"/>
      <c r="H53" s="1">
        <f>SUM(OSRRefH22_1x_0)</f>
        <v>65101.807692307702</v>
      </c>
      <c r="I53" s="1"/>
      <c r="J53" s="5">
        <f t="shared" ref="J53:J63" si="21">IF(H$12=0,0,H53/H$12)</f>
        <v>0.21115971694455413</v>
      </c>
      <c r="K53" s="1"/>
      <c r="L53" s="1">
        <f t="shared" ref="L53:L63" si="22">+D53-H53</f>
        <v>-5489.9976923077047</v>
      </c>
      <c r="M53" s="1"/>
      <c r="N53" s="5">
        <f t="shared" ref="N53:N63" si="23">IF(H53=0,0,L53/H53)</f>
        <v>-8.4329420133081673E-2</v>
      </c>
      <c r="O53" s="14"/>
      <c r="P53" s="1">
        <f>SUM(OSRRefP22_1x_0)</f>
        <v>363543.18</v>
      </c>
      <c r="Q53" s="1"/>
      <c r="R53" s="5">
        <f t="shared" ref="R53:R63" si="24">IF(P$12=0,0,P53/P$12)</f>
        <v>0.17574073984464017</v>
      </c>
      <c r="S53" s="1"/>
      <c r="T53" s="1">
        <f>SUM(OSRRefT22_1x_0)</f>
        <v>407444.95</v>
      </c>
      <c r="U53" s="1"/>
      <c r="V53" s="5">
        <f t="shared" ref="V53:V63" si="25">IF(T$12=0,0,T53/T$12)</f>
        <v>0.24224946683052673</v>
      </c>
      <c r="W53" s="1"/>
      <c r="X53" s="1">
        <f t="shared" ref="X53:X63" si="26">+P53-T53</f>
        <v>-43901.770000000019</v>
      </c>
      <c r="Y53" s="1"/>
      <c r="Z53" s="5">
        <f t="shared" ref="Z53:Z63" si="27">IF(T53=0,0,X53/T53)</f>
        <v>-0.10774896093325004</v>
      </c>
    </row>
    <row r="54" spans="1:26" s="24" customFormat="1" hidden="1" outlineLevel="2" x14ac:dyDescent="0.3">
      <c r="A54" s="29"/>
      <c r="B54" s="11" t="str">
        <f>CONCATENATE("          ", "6001", " - ", "ADMINISTRATIVE SALARIES")</f>
        <v xml:space="preserve">          6001 - ADMINISTRATIVE SALARIES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9"/>
      <c r="B55" s="11" t="str">
        <f>CONCATENATE("          ", "6002", " - ", "STAFF SALARIES")</f>
        <v xml:space="preserve">          6002 - STAFF SALARIES</v>
      </c>
      <c r="C55" s="11"/>
      <c r="D55" s="6">
        <v>16571.2</v>
      </c>
      <c r="E55" s="2"/>
      <c r="F55" s="7">
        <f t="shared" si="20"/>
        <v>3.8457257609877914E-2</v>
      </c>
      <c r="G55" s="2"/>
      <c r="H55" s="6">
        <v>14790.807692307701</v>
      </c>
      <c r="I55" s="2"/>
      <c r="J55" s="7">
        <f t="shared" si="21"/>
        <v>4.7974439979460992E-2</v>
      </c>
      <c r="K55" s="2"/>
      <c r="L55" s="6">
        <f t="shared" si="22"/>
        <v>1780.3923076923002</v>
      </c>
      <c r="M55" s="2"/>
      <c r="N55" s="7">
        <f t="shared" si="23"/>
        <v>0.12037154053583118</v>
      </c>
      <c r="O55" s="11"/>
      <c r="P55" s="6">
        <v>99853.95</v>
      </c>
      <c r="Q55" s="2"/>
      <c r="R55" s="7">
        <f t="shared" si="24"/>
        <v>4.827048894002002E-2</v>
      </c>
      <c r="S55" s="2"/>
      <c r="T55" s="6">
        <v>96140.25</v>
      </c>
      <c r="U55" s="2"/>
      <c r="V55" s="7">
        <f t="shared" si="25"/>
        <v>5.7160910457850926E-2</v>
      </c>
      <c r="W55" s="2"/>
      <c r="X55" s="6">
        <f t="shared" si="26"/>
        <v>3713.6999999999971</v>
      </c>
      <c r="Y55" s="2"/>
      <c r="Z55" s="7">
        <f t="shared" si="27"/>
        <v>3.8627941990997498E-2</v>
      </c>
    </row>
    <row r="56" spans="1:26" s="24" customFormat="1" hidden="1" outlineLevel="2" x14ac:dyDescent="0.3">
      <c r="A56" s="29"/>
      <c r="B56" s="11" t="str">
        <f>CONCATENATE("          ", "6003", " - ", "STAFF HOURLY-9 MONTH")</f>
        <v xml:space="preserve">          6003 - STAFF HOURLY-9 MONTH</v>
      </c>
      <c r="C56" s="11"/>
      <c r="D56" s="6"/>
      <c r="E56" s="2"/>
      <c r="F56" s="7">
        <f t="shared" si="20"/>
        <v>0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/>
      <c r="Q56" s="2"/>
      <c r="R56" s="7">
        <f t="shared" si="24"/>
        <v>0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0</v>
      </c>
      <c r="Y56" s="2"/>
      <c r="Z56" s="7">
        <f t="shared" si="27"/>
        <v>0</v>
      </c>
    </row>
    <row r="57" spans="1:26" s="24" customFormat="1" hidden="1" outlineLevel="2" x14ac:dyDescent="0.3">
      <c r="A57" s="29"/>
      <c r="B57" s="11" t="str">
        <f>CONCATENATE("          ", "6004", " - ", "STAFF HOURLY")</f>
        <v xml:space="preserve">          6004 - STAFF HOURLY</v>
      </c>
      <c r="C57" s="11"/>
      <c r="D57" s="6">
        <v>7713.05</v>
      </c>
      <c r="E57" s="2"/>
      <c r="F57" s="7">
        <f t="shared" si="20"/>
        <v>1.7899895650759681E-2</v>
      </c>
      <c r="G57" s="2"/>
      <c r="H57" s="6">
        <v>19576</v>
      </c>
      <c r="I57" s="2"/>
      <c r="J57" s="7">
        <f t="shared" si="21"/>
        <v>6.3495358507456884E-2</v>
      </c>
      <c r="K57" s="2"/>
      <c r="L57" s="6">
        <f t="shared" si="22"/>
        <v>-11862.95</v>
      </c>
      <c r="M57" s="2"/>
      <c r="N57" s="7">
        <f t="shared" si="23"/>
        <v>-0.60599458520637517</v>
      </c>
      <c r="O57" s="11"/>
      <c r="P57" s="6">
        <v>53504.57</v>
      </c>
      <c r="Q57" s="2"/>
      <c r="R57" s="7">
        <f t="shared" si="24"/>
        <v>2.5864692928277016E-2</v>
      </c>
      <c r="S57" s="2"/>
      <c r="T57" s="6">
        <v>116543.2</v>
      </c>
      <c r="U57" s="2"/>
      <c r="V57" s="7">
        <f t="shared" si="25"/>
        <v>6.9291638202224476E-2</v>
      </c>
      <c r="W57" s="2"/>
      <c r="X57" s="6">
        <f t="shared" si="26"/>
        <v>-63038.63</v>
      </c>
      <c r="Y57" s="2"/>
      <c r="Z57" s="7">
        <f t="shared" si="27"/>
        <v>-0.54090354477996139</v>
      </c>
    </row>
    <row r="58" spans="1:26" s="24" customFormat="1" hidden="1" outlineLevel="2" x14ac:dyDescent="0.3">
      <c r="A58" s="29"/>
      <c r="B58" s="11" t="str">
        <f>CONCATENATE("          ", "6005", " - ", "TEMPORARY WAGES-HOURLY")</f>
        <v xml:space="preserve">          6005 - TEMPORARY WAGES-HOURLY</v>
      </c>
      <c r="C58" s="11"/>
      <c r="D58" s="6">
        <v>2228.7399999999998</v>
      </c>
      <c r="E58" s="2"/>
      <c r="F58" s="7">
        <f t="shared" si="20"/>
        <v>5.1723006375784071E-3</v>
      </c>
      <c r="G58" s="2"/>
      <c r="H58" s="6">
        <v>0</v>
      </c>
      <c r="I58" s="2"/>
      <c r="J58" s="7">
        <f t="shared" si="21"/>
        <v>0</v>
      </c>
      <c r="K58" s="2"/>
      <c r="L58" s="6">
        <f t="shared" si="22"/>
        <v>2228.7399999999998</v>
      </c>
      <c r="M58" s="2"/>
      <c r="N58" s="7">
        <f t="shared" si="23"/>
        <v>0</v>
      </c>
      <c r="O58" s="11"/>
      <c r="P58" s="6">
        <v>20076.650000000001</v>
      </c>
      <c r="Q58" s="2"/>
      <c r="R58" s="7">
        <f t="shared" si="24"/>
        <v>9.7052716670462513E-3</v>
      </c>
      <c r="S58" s="2"/>
      <c r="T58" s="6">
        <v>0</v>
      </c>
      <c r="U58" s="2"/>
      <c r="V58" s="7">
        <f t="shared" si="25"/>
        <v>0</v>
      </c>
      <c r="W58" s="2"/>
      <c r="X58" s="6">
        <f t="shared" si="26"/>
        <v>20076.650000000001</v>
      </c>
      <c r="Y58" s="2"/>
      <c r="Z58" s="7">
        <f t="shared" si="27"/>
        <v>0</v>
      </c>
    </row>
    <row r="59" spans="1:26" s="24" customFormat="1" hidden="1" outlineLevel="2" x14ac:dyDescent="0.3">
      <c r="A59" s="29"/>
      <c r="B59" s="11" t="str">
        <f>CONCATENATE("          ", "6006", " - ", "TEMPORARY PART TIME")</f>
        <v xml:space="preserve">          6006 - TEMPORARY PART TIME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3">
      <c r="A60" s="29"/>
      <c r="B60" s="11" t="str">
        <f>CONCATENATE("          ", "6007", " - ", "STUDENT HOURLY")</f>
        <v xml:space="preserve">          6007 - STUDENT HOURLY</v>
      </c>
      <c r="C60" s="11"/>
      <c r="D60" s="6">
        <v>28181.46</v>
      </c>
      <c r="E60" s="2"/>
      <c r="F60" s="7">
        <f t="shared" si="20"/>
        <v>6.5401519928699789E-2</v>
      </c>
      <c r="G60" s="2"/>
      <c r="H60" s="6">
        <v>27600</v>
      </c>
      <c r="I60" s="2"/>
      <c r="J60" s="7">
        <f t="shared" si="21"/>
        <v>8.9521449469034009E-2</v>
      </c>
      <c r="K60" s="2"/>
      <c r="L60" s="6">
        <f t="shared" si="22"/>
        <v>581.45999999999913</v>
      </c>
      <c r="M60" s="2"/>
      <c r="N60" s="7">
        <f t="shared" si="23"/>
        <v>2.1067391304347795E-2</v>
      </c>
      <c r="O60" s="11"/>
      <c r="P60" s="6">
        <v>150145.07999999999</v>
      </c>
      <c r="Q60" s="2"/>
      <c r="R60" s="7">
        <f t="shared" si="24"/>
        <v>7.2581769910338254E-2</v>
      </c>
      <c r="S60" s="2"/>
      <c r="T60" s="6">
        <v>122301.75</v>
      </c>
      <c r="U60" s="2"/>
      <c r="V60" s="7">
        <f t="shared" si="25"/>
        <v>7.2715427519571343E-2</v>
      </c>
      <c r="W60" s="2"/>
      <c r="X60" s="6">
        <f t="shared" si="26"/>
        <v>27843.329999999987</v>
      </c>
      <c r="Y60" s="2"/>
      <c r="Z60" s="7">
        <f t="shared" si="27"/>
        <v>0.22766092880927696</v>
      </c>
    </row>
    <row r="61" spans="1:26" s="24" customFormat="1" hidden="1" outlineLevel="2" x14ac:dyDescent="0.3">
      <c r="A61" s="29"/>
      <c r="B61" s="11" t="str">
        <f>CONCATENATE("          ", "6008", " - ", "STUDENT HOURLY-FICA EXEMPT")</f>
        <v xml:space="preserve">          6008 - STUDENT HOURLY-FICA EXEMPT</v>
      </c>
      <c r="C61" s="11"/>
      <c r="D61" s="6">
        <v>4917.3599999999997</v>
      </c>
      <c r="E61" s="2"/>
      <c r="F61" s="7">
        <f t="shared" si="20"/>
        <v>1.1411857939105752E-2</v>
      </c>
      <c r="G61" s="2"/>
      <c r="H61" s="6">
        <v>3135</v>
      </c>
      <c r="I61" s="2"/>
      <c r="J61" s="7">
        <f t="shared" si="21"/>
        <v>1.0168468988602233E-2</v>
      </c>
      <c r="K61" s="2"/>
      <c r="L61" s="6">
        <f t="shared" si="22"/>
        <v>1782.3599999999997</v>
      </c>
      <c r="M61" s="2"/>
      <c r="N61" s="7">
        <f t="shared" si="23"/>
        <v>0.56853588516746401</v>
      </c>
      <c r="O61" s="11"/>
      <c r="P61" s="6">
        <v>39962.93</v>
      </c>
      <c r="Q61" s="2"/>
      <c r="R61" s="7">
        <f t="shared" si="24"/>
        <v>1.931851639895862E-2</v>
      </c>
      <c r="S61" s="2"/>
      <c r="T61" s="6">
        <v>72459.75</v>
      </c>
      <c r="U61" s="2"/>
      <c r="V61" s="7">
        <f t="shared" si="25"/>
        <v>4.3081490650879975E-2</v>
      </c>
      <c r="W61" s="2"/>
      <c r="X61" s="6">
        <f t="shared" si="26"/>
        <v>-32496.82</v>
      </c>
      <c r="Y61" s="2"/>
      <c r="Z61" s="7">
        <f t="shared" si="27"/>
        <v>-0.44848098427057781</v>
      </c>
    </row>
    <row r="62" spans="1:26" s="24" customFormat="1" hidden="1" outlineLevel="2" x14ac:dyDescent="0.3">
      <c r="A62" s="29"/>
      <c r="B62" s="11" t="str">
        <f>CONCATENATE("          ", "6009", " - ", "TEMPORARY-SEASONAL")</f>
        <v xml:space="preserve">          6009 - TEMPORARY-SEASONAL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3">
      <c r="A63" s="29"/>
      <c r="B63" s="11" t="str">
        <f>CONCATENATE("          ", "6010", " - ", "GRATUITY")</f>
        <v xml:space="preserve">          6010 - GRATUITY</v>
      </c>
      <c r="C63" s="11"/>
      <c r="D63" s="6"/>
      <c r="E63" s="2"/>
      <c r="F63" s="7">
        <f t="shared" si="20"/>
        <v>0</v>
      </c>
      <c r="G63" s="2"/>
      <c r="H63" s="6">
        <v>0</v>
      </c>
      <c r="I63" s="2"/>
      <c r="J63" s="7">
        <f t="shared" si="21"/>
        <v>0</v>
      </c>
      <c r="K63" s="2"/>
      <c r="L63" s="6">
        <f t="shared" si="22"/>
        <v>0</v>
      </c>
      <c r="M63" s="2"/>
      <c r="N63" s="7">
        <f t="shared" si="23"/>
        <v>0</v>
      </c>
      <c r="O63" s="11"/>
      <c r="P63" s="6"/>
      <c r="Q63" s="2"/>
      <c r="R63" s="7">
        <f t="shared" si="24"/>
        <v>0</v>
      </c>
      <c r="S63" s="2"/>
      <c r="T63" s="6">
        <v>0</v>
      </c>
      <c r="U63" s="2"/>
      <c r="V63" s="7">
        <f t="shared" si="25"/>
        <v>0</v>
      </c>
      <c r="W63" s="2"/>
      <c r="X63" s="6">
        <f t="shared" si="26"/>
        <v>0</v>
      </c>
      <c r="Y63" s="2"/>
      <c r="Z63" s="7">
        <f t="shared" si="27"/>
        <v>0</v>
      </c>
    </row>
    <row r="64" spans="1:26" s="28" customFormat="1" outlineLevel="1" collapsed="1" x14ac:dyDescent="0.3">
      <c r="A64" s="27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158.76</v>
      </c>
      <c r="E64" s="1"/>
      <c r="F64" s="5">
        <f t="shared" ref="F64:F78" si="28">IF(D$12=0,0,D64/D$12)</f>
        <v>3.6843887094140543E-4</v>
      </c>
      <c r="G64" s="1"/>
      <c r="H64" s="1">
        <f>SUM(OSRRefH22_2x_0)</f>
        <v>100</v>
      </c>
      <c r="I64" s="1"/>
      <c r="J64" s="5">
        <f t="shared" ref="J64:J78" si="29">IF(H$12=0,0,H64/H$12)</f>
        <v>3.2435307778635509E-4</v>
      </c>
      <c r="K64" s="1"/>
      <c r="L64" s="1">
        <f t="shared" ref="L64:L78" si="30">+D64-H64</f>
        <v>58.759999999999991</v>
      </c>
      <c r="M64" s="1"/>
      <c r="N64" s="5">
        <f t="shared" ref="N64:N78" si="31">IF(H64=0,0,L64/H64)</f>
        <v>0.5875999999999999</v>
      </c>
      <c r="O64" s="14"/>
      <c r="P64" s="1">
        <f>SUM(OSRRefP22_2x_0)</f>
        <v>3311.56</v>
      </c>
      <c r="Q64" s="1"/>
      <c r="R64" s="5">
        <f t="shared" ref="R64:R78" si="32">IF(P$12=0,0,P64/P$12)</f>
        <v>1.6008442365496075E-3</v>
      </c>
      <c r="S64" s="1"/>
      <c r="T64" s="1">
        <f>SUM(OSRRefT22_2x_0)</f>
        <v>2000</v>
      </c>
      <c r="U64" s="1"/>
      <c r="V64" s="5">
        <f t="shared" ref="V64:V78" si="33">IF(T$12=0,0,T64/T$12)</f>
        <v>1.1891150783953843E-3</v>
      </c>
      <c r="W64" s="1"/>
      <c r="X64" s="1">
        <f t="shared" ref="X64:X78" si="34">+P64-T64</f>
        <v>1311.56</v>
      </c>
      <c r="Y64" s="1"/>
      <c r="Z64" s="5">
        <f t="shared" ref="Z64:Z78" si="35">IF(T64=0,0,X64/T64)</f>
        <v>0.65577999999999992</v>
      </c>
    </row>
    <row r="65" spans="1:26" s="24" customFormat="1" hidden="1" outlineLevel="2" x14ac:dyDescent="0.3">
      <c r="A65" s="29"/>
      <c r="B65" s="11" t="str">
        <f>CONCATENATE("          ", "6362", " - ", "ADVERTISING EXPENSE")</f>
        <v xml:space="preserve">          6362 - ADVERTISING EXPENSE</v>
      </c>
      <c r="C65" s="11"/>
      <c r="D65" s="6">
        <v>158.76</v>
      </c>
      <c r="E65" s="2"/>
      <c r="F65" s="7">
        <f t="shared" si="28"/>
        <v>3.6843887094140543E-4</v>
      </c>
      <c r="G65" s="2"/>
      <c r="H65" s="6">
        <v>100</v>
      </c>
      <c r="I65" s="2"/>
      <c r="J65" s="7">
        <f t="shared" si="29"/>
        <v>3.2435307778635509E-4</v>
      </c>
      <c r="K65" s="2"/>
      <c r="L65" s="6">
        <f t="shared" si="30"/>
        <v>58.759999999999991</v>
      </c>
      <c r="M65" s="2"/>
      <c r="N65" s="7">
        <f t="shared" si="31"/>
        <v>0.5875999999999999</v>
      </c>
      <c r="O65" s="11"/>
      <c r="P65" s="6">
        <v>3311.56</v>
      </c>
      <c r="Q65" s="2"/>
      <c r="R65" s="7">
        <f t="shared" si="32"/>
        <v>1.6008442365496075E-3</v>
      </c>
      <c r="S65" s="2"/>
      <c r="T65" s="6">
        <v>2000</v>
      </c>
      <c r="U65" s="2"/>
      <c r="V65" s="7">
        <f t="shared" si="33"/>
        <v>1.1891150783953843E-3</v>
      </c>
      <c r="W65" s="2"/>
      <c r="X65" s="6">
        <f t="shared" si="34"/>
        <v>1311.56</v>
      </c>
      <c r="Y65" s="2"/>
      <c r="Z65" s="7">
        <f t="shared" si="35"/>
        <v>0.65577999999999992</v>
      </c>
    </row>
    <row r="66" spans="1:26" s="28" customFormat="1" outlineLevel="1" collapsed="1" x14ac:dyDescent="0.3">
      <c r="A66" s="27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-1.01</v>
      </c>
      <c r="E66" s="1"/>
      <c r="F66" s="5">
        <f t="shared" si="28"/>
        <v>-2.3439358758555019E-6</v>
      </c>
      <c r="G66" s="1"/>
      <c r="H66" s="1">
        <f>SUM(OSRRefH22_3x_0)</f>
        <v>10</v>
      </c>
      <c r="I66" s="1"/>
      <c r="J66" s="5">
        <f t="shared" si="29"/>
        <v>3.2435307778635515E-5</v>
      </c>
      <c r="K66" s="1"/>
      <c r="L66" s="1">
        <f t="shared" si="30"/>
        <v>-11.01</v>
      </c>
      <c r="M66" s="1"/>
      <c r="N66" s="5">
        <f t="shared" si="31"/>
        <v>-1.101</v>
      </c>
      <c r="O66" s="14"/>
      <c r="P66" s="1">
        <f>SUM(OSRRefP22_3x_0)</f>
        <v>-10.029999999999999</v>
      </c>
      <c r="Q66" s="1"/>
      <c r="R66" s="5">
        <f t="shared" si="32"/>
        <v>-4.8486114376887516E-6</v>
      </c>
      <c r="S66" s="1"/>
      <c r="T66" s="1">
        <f>SUM(OSRRefT22_3x_0)</f>
        <v>60</v>
      </c>
      <c r="U66" s="1"/>
      <c r="V66" s="5">
        <f t="shared" si="33"/>
        <v>3.567345235186153E-5</v>
      </c>
      <c r="W66" s="1"/>
      <c r="X66" s="1">
        <f t="shared" si="34"/>
        <v>-70.03</v>
      </c>
      <c r="Y66" s="1"/>
      <c r="Z66" s="5">
        <f t="shared" si="35"/>
        <v>-1.1671666666666667</v>
      </c>
    </row>
    <row r="67" spans="1:26" s="24" customFormat="1" hidden="1" outlineLevel="2" x14ac:dyDescent="0.3">
      <c r="A67" s="29"/>
      <c r="B67" s="11" t="str">
        <f>CONCATENATE("          ", "6272", " - ", "CASH (OVER/SHORT)")</f>
        <v xml:space="preserve">          6272 - CASH (OVER/SHORT)</v>
      </c>
      <c r="C67" s="11"/>
      <c r="D67" s="6">
        <v>-1.01</v>
      </c>
      <c r="E67" s="2"/>
      <c r="F67" s="7">
        <f t="shared" si="28"/>
        <v>-2.3439358758555019E-6</v>
      </c>
      <c r="G67" s="2"/>
      <c r="H67" s="6">
        <v>10</v>
      </c>
      <c r="I67" s="2"/>
      <c r="J67" s="7">
        <f t="shared" si="29"/>
        <v>3.2435307778635515E-5</v>
      </c>
      <c r="K67" s="2"/>
      <c r="L67" s="6">
        <f t="shared" si="30"/>
        <v>-11.01</v>
      </c>
      <c r="M67" s="2"/>
      <c r="N67" s="7">
        <f t="shared" si="31"/>
        <v>-1.101</v>
      </c>
      <c r="O67" s="11"/>
      <c r="P67" s="6">
        <v>-10.029999999999999</v>
      </c>
      <c r="Q67" s="2"/>
      <c r="R67" s="7">
        <f t="shared" si="32"/>
        <v>-4.8486114376887516E-6</v>
      </c>
      <c r="S67" s="2"/>
      <c r="T67" s="6">
        <v>60</v>
      </c>
      <c r="U67" s="2"/>
      <c r="V67" s="7">
        <f t="shared" si="33"/>
        <v>3.567345235186153E-5</v>
      </c>
      <c r="W67" s="2"/>
      <c r="X67" s="6">
        <f t="shared" si="34"/>
        <v>-70.03</v>
      </c>
      <c r="Y67" s="2"/>
      <c r="Z67" s="7">
        <f t="shared" si="35"/>
        <v>-1.1671666666666667</v>
      </c>
    </row>
    <row r="68" spans="1:26" s="28" customFormat="1" outlineLevel="1" collapsed="1" x14ac:dyDescent="0.3">
      <c r="A68" s="27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1000.14</v>
      </c>
      <c r="E68" s="1"/>
      <c r="F68" s="5">
        <f t="shared" si="28"/>
        <v>2.3210534919585364E-3</v>
      </c>
      <c r="G68" s="1"/>
      <c r="H68" s="1">
        <f>SUM(OSRRefH22_4x_0)</f>
        <v>864</v>
      </c>
      <c r="I68" s="1"/>
      <c r="J68" s="5">
        <f t="shared" si="29"/>
        <v>2.802410592074108E-3</v>
      </c>
      <c r="K68" s="1"/>
      <c r="L68" s="1">
        <f t="shared" si="30"/>
        <v>136.13999999999999</v>
      </c>
      <c r="M68" s="1"/>
      <c r="N68" s="5">
        <f t="shared" si="31"/>
        <v>0.15756944444444443</v>
      </c>
      <c r="O68" s="14"/>
      <c r="P68" s="1">
        <f>SUM(OSRRefP22_4x_0)</f>
        <v>3474.58</v>
      </c>
      <c r="Q68" s="1"/>
      <c r="R68" s="5">
        <f t="shared" si="32"/>
        <v>1.6796498832666585E-3</v>
      </c>
      <c r="S68" s="1"/>
      <c r="T68" s="1">
        <f>SUM(OSRRefT22_4x_0)</f>
        <v>3220</v>
      </c>
      <c r="U68" s="1"/>
      <c r="V68" s="5">
        <f t="shared" si="33"/>
        <v>1.9144752762165688E-3</v>
      </c>
      <c r="W68" s="1"/>
      <c r="X68" s="1">
        <f t="shared" si="34"/>
        <v>254.57999999999993</v>
      </c>
      <c r="Y68" s="1"/>
      <c r="Z68" s="5">
        <f t="shared" si="35"/>
        <v>7.9062111801242216E-2</v>
      </c>
    </row>
    <row r="69" spans="1:26" s="24" customFormat="1" hidden="1" outlineLevel="2" x14ac:dyDescent="0.3">
      <c r="A69" s="29"/>
      <c r="B69" s="11" t="str">
        <f>CONCATENATE("          ", "6381", " - ", "BANK/CREDIT CARD FEES")</f>
        <v xml:space="preserve">          6381 - BANK/CREDIT CARD FEES</v>
      </c>
      <c r="C69" s="11"/>
      <c r="D69" s="6">
        <v>1000.14</v>
      </c>
      <c r="E69" s="2"/>
      <c r="F69" s="7">
        <f t="shared" si="28"/>
        <v>2.3210534919585364E-3</v>
      </c>
      <c r="G69" s="2"/>
      <c r="H69" s="6">
        <v>864</v>
      </c>
      <c r="I69" s="2"/>
      <c r="J69" s="7">
        <f t="shared" si="29"/>
        <v>2.802410592074108E-3</v>
      </c>
      <c r="K69" s="2"/>
      <c r="L69" s="6">
        <f t="shared" si="30"/>
        <v>136.13999999999999</v>
      </c>
      <c r="M69" s="2"/>
      <c r="N69" s="7">
        <f t="shared" si="31"/>
        <v>0.15756944444444443</v>
      </c>
      <c r="O69" s="11"/>
      <c r="P69" s="6">
        <v>3474.58</v>
      </c>
      <c r="Q69" s="2"/>
      <c r="R69" s="7">
        <f t="shared" si="32"/>
        <v>1.6796498832666585E-3</v>
      </c>
      <c r="S69" s="2"/>
      <c r="T69" s="6">
        <v>3220</v>
      </c>
      <c r="U69" s="2"/>
      <c r="V69" s="7">
        <f t="shared" si="33"/>
        <v>1.9144752762165688E-3</v>
      </c>
      <c r="W69" s="2"/>
      <c r="X69" s="6">
        <f t="shared" si="34"/>
        <v>254.57999999999993</v>
      </c>
      <c r="Y69" s="2"/>
      <c r="Z69" s="7">
        <f t="shared" si="35"/>
        <v>7.9062111801242216E-2</v>
      </c>
    </row>
    <row r="70" spans="1:26" s="28" customFormat="1" outlineLevel="1" collapsed="1" x14ac:dyDescent="0.3">
      <c r="A70" s="27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0</v>
      </c>
      <c r="E70" s="1"/>
      <c r="F70" s="5">
        <f t="shared" si="28"/>
        <v>0</v>
      </c>
      <c r="G70" s="1"/>
      <c r="H70" s="1">
        <f>SUM(OSRRefH22_5x_0)</f>
        <v>0</v>
      </c>
      <c r="I70" s="1"/>
      <c r="J70" s="5">
        <f t="shared" si="29"/>
        <v>0</v>
      </c>
      <c r="K70" s="1"/>
      <c r="L70" s="1">
        <f t="shared" si="30"/>
        <v>0</v>
      </c>
      <c r="M70" s="1"/>
      <c r="N70" s="5">
        <f t="shared" si="31"/>
        <v>0</v>
      </c>
      <c r="O70" s="14"/>
      <c r="P70" s="1">
        <f>SUM(OSRRefP22_5x_0)</f>
        <v>0</v>
      </c>
      <c r="Q70" s="1"/>
      <c r="R70" s="5">
        <f t="shared" si="32"/>
        <v>0</v>
      </c>
      <c r="S70" s="1"/>
      <c r="T70" s="1">
        <f>SUM(OSRRefT22_5x_0)</f>
        <v>0</v>
      </c>
      <c r="U70" s="1"/>
      <c r="V70" s="5">
        <f t="shared" si="33"/>
        <v>0</v>
      </c>
      <c r="W70" s="1"/>
      <c r="X70" s="1">
        <f t="shared" si="34"/>
        <v>0</v>
      </c>
      <c r="Y70" s="1"/>
      <c r="Z70" s="5">
        <f t="shared" si="35"/>
        <v>0</v>
      </c>
    </row>
    <row r="71" spans="1:26" s="24" customFormat="1" hidden="1" outlineLevel="2" x14ac:dyDescent="0.3">
      <c r="A71" s="29"/>
      <c r="B71" s="11" t="str">
        <f>CONCATENATE("          ", "9175", " - ", "EARNED DISCOUNTS")</f>
        <v xml:space="preserve">          9175 - EARNED DISCOUNTS</v>
      </c>
      <c r="C71" s="11"/>
      <c r="D71" s="6"/>
      <c r="E71" s="2"/>
      <c r="F71" s="7">
        <f t="shared" si="28"/>
        <v>0</v>
      </c>
      <c r="G71" s="2"/>
      <c r="H71" s="6"/>
      <c r="I71" s="2"/>
      <c r="J71" s="7">
        <f t="shared" si="29"/>
        <v>0</v>
      </c>
      <c r="K71" s="2"/>
      <c r="L71" s="6">
        <f t="shared" si="30"/>
        <v>0</v>
      </c>
      <c r="M71" s="2"/>
      <c r="N71" s="7">
        <f t="shared" si="31"/>
        <v>0</v>
      </c>
      <c r="O71" s="11"/>
      <c r="P71" s="6">
        <v>0</v>
      </c>
      <c r="Q71" s="2"/>
      <c r="R71" s="7">
        <f t="shared" si="32"/>
        <v>0</v>
      </c>
      <c r="S71" s="2"/>
      <c r="T71" s="6"/>
      <c r="U71" s="2"/>
      <c r="V71" s="7">
        <f t="shared" si="33"/>
        <v>0</v>
      </c>
      <c r="W71" s="2"/>
      <c r="X71" s="6">
        <f t="shared" si="34"/>
        <v>0</v>
      </c>
      <c r="Y71" s="2"/>
      <c r="Z71" s="7">
        <f t="shared" si="35"/>
        <v>0</v>
      </c>
    </row>
    <row r="72" spans="1:26" s="28" customFormat="1" outlineLevel="1" collapsed="1" x14ac:dyDescent="0.3">
      <c r="A72" s="27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SUM(OSRRefD22_6x_0)</f>
        <v>0</v>
      </c>
      <c r="E72" s="1"/>
      <c r="F72" s="5">
        <f t="shared" si="28"/>
        <v>0</v>
      </c>
      <c r="G72" s="1"/>
      <c r="H72" s="1">
        <f>SUM(OSRRefH22_6x_0)</f>
        <v>75</v>
      </c>
      <c r="I72" s="1"/>
      <c r="J72" s="5">
        <f t="shared" si="29"/>
        <v>2.4326480833976633E-4</v>
      </c>
      <c r="K72" s="1"/>
      <c r="L72" s="1">
        <f t="shared" si="30"/>
        <v>-75</v>
      </c>
      <c r="M72" s="1"/>
      <c r="N72" s="5">
        <f t="shared" si="31"/>
        <v>-1</v>
      </c>
      <c r="O72" s="14"/>
      <c r="P72" s="1">
        <f>SUM(OSRRefP22_6x_0)</f>
        <v>216.44</v>
      </c>
      <c r="Q72" s="1"/>
      <c r="R72" s="5">
        <f t="shared" si="32"/>
        <v>1.0462945758458161E-4</v>
      </c>
      <c r="S72" s="1"/>
      <c r="T72" s="1">
        <f>SUM(OSRRefT22_6x_0)</f>
        <v>450</v>
      </c>
      <c r="U72" s="1"/>
      <c r="V72" s="5">
        <f t="shared" si="33"/>
        <v>2.6755089263896147E-4</v>
      </c>
      <c r="W72" s="1"/>
      <c r="X72" s="1">
        <f t="shared" si="34"/>
        <v>-233.56</v>
      </c>
      <c r="Y72" s="1"/>
      <c r="Z72" s="5">
        <f t="shared" si="35"/>
        <v>-0.51902222222222227</v>
      </c>
    </row>
    <row r="73" spans="1:26" s="24" customFormat="1" hidden="1" outlineLevel="2" x14ac:dyDescent="0.3">
      <c r="A73" s="29"/>
      <c r="B73" s="11" t="str">
        <f>CONCATENATE("          ", "6277", " - ", "EMPLOYEE APPRECIATION")</f>
        <v xml:space="preserve">          6277 - EMPLOYEE APPRECIATION</v>
      </c>
      <c r="C73" s="11"/>
      <c r="D73" s="6"/>
      <c r="E73" s="2"/>
      <c r="F73" s="7">
        <f t="shared" si="28"/>
        <v>0</v>
      </c>
      <c r="G73" s="2"/>
      <c r="H73" s="6">
        <v>75</v>
      </c>
      <c r="I73" s="2"/>
      <c r="J73" s="7">
        <f t="shared" si="29"/>
        <v>2.4326480833976633E-4</v>
      </c>
      <c r="K73" s="2"/>
      <c r="L73" s="6">
        <f t="shared" si="30"/>
        <v>-75</v>
      </c>
      <c r="M73" s="2"/>
      <c r="N73" s="7">
        <f t="shared" si="31"/>
        <v>-1</v>
      </c>
      <c r="O73" s="11"/>
      <c r="P73" s="6">
        <v>216.44</v>
      </c>
      <c r="Q73" s="2"/>
      <c r="R73" s="7">
        <f t="shared" si="32"/>
        <v>1.0462945758458161E-4</v>
      </c>
      <c r="S73" s="2"/>
      <c r="T73" s="6">
        <v>450</v>
      </c>
      <c r="U73" s="2"/>
      <c r="V73" s="7">
        <f t="shared" si="33"/>
        <v>2.6755089263896147E-4</v>
      </c>
      <c r="W73" s="2"/>
      <c r="X73" s="6">
        <f t="shared" si="34"/>
        <v>-233.56</v>
      </c>
      <c r="Y73" s="2"/>
      <c r="Z73" s="7">
        <f t="shared" si="35"/>
        <v>-0.51902222222222227</v>
      </c>
    </row>
    <row r="74" spans="1:26" s="28" customFormat="1" outlineLevel="1" collapsed="1" x14ac:dyDescent="0.3">
      <c r="A74" s="27"/>
      <c r="B74" s="14" t="str">
        <f>CONCATENATE("     ","Equipment Rental                                  ")</f>
        <v xml:space="preserve">     Equipment Rental                                  </v>
      </c>
      <c r="C74" s="14"/>
      <c r="D74" s="1">
        <f>SUM(OSRRefD22_7x_0)</f>
        <v>118.91</v>
      </c>
      <c r="E74" s="1"/>
      <c r="F74" s="5">
        <f t="shared" si="28"/>
        <v>2.759578366316611E-4</v>
      </c>
      <c r="G74" s="1"/>
      <c r="H74" s="1">
        <f>SUM(OSRRefH22_7x_0)</f>
        <v>0</v>
      </c>
      <c r="I74" s="1"/>
      <c r="J74" s="5">
        <f t="shared" si="29"/>
        <v>0</v>
      </c>
      <c r="K74" s="1"/>
      <c r="L74" s="1">
        <f t="shared" si="30"/>
        <v>118.91</v>
      </c>
      <c r="M74" s="1"/>
      <c r="N74" s="5">
        <f t="shared" si="31"/>
        <v>0</v>
      </c>
      <c r="O74" s="14"/>
      <c r="P74" s="1">
        <f>SUM(OSRRefP22_7x_0)</f>
        <v>118.91</v>
      </c>
      <c r="Q74" s="1"/>
      <c r="R74" s="5">
        <f t="shared" si="32"/>
        <v>5.7482391431263165E-5</v>
      </c>
      <c r="S74" s="1"/>
      <c r="T74" s="1">
        <f>SUM(OSRRefT22_7x_0)</f>
        <v>0</v>
      </c>
      <c r="U74" s="1"/>
      <c r="V74" s="5">
        <f t="shared" si="33"/>
        <v>0</v>
      </c>
      <c r="W74" s="1"/>
      <c r="X74" s="1">
        <f t="shared" si="34"/>
        <v>118.91</v>
      </c>
      <c r="Y74" s="1"/>
      <c r="Z74" s="5">
        <f t="shared" si="35"/>
        <v>0</v>
      </c>
    </row>
    <row r="75" spans="1:26" s="24" customFormat="1" hidden="1" outlineLevel="2" x14ac:dyDescent="0.3">
      <c r="A75" s="29"/>
      <c r="B75" s="11" t="str">
        <f>CONCATENATE("          ", "6351", " - ", "EQUIPMENT RENTAL")</f>
        <v xml:space="preserve">          6351 - EQUIPMENT RENTAL</v>
      </c>
      <c r="C75" s="11"/>
      <c r="D75" s="6">
        <v>118.91</v>
      </c>
      <c r="E75" s="2"/>
      <c r="F75" s="7">
        <f t="shared" si="28"/>
        <v>2.759578366316611E-4</v>
      </c>
      <c r="G75" s="2"/>
      <c r="H75" s="6"/>
      <c r="I75" s="2"/>
      <c r="J75" s="7">
        <f t="shared" si="29"/>
        <v>0</v>
      </c>
      <c r="K75" s="2"/>
      <c r="L75" s="6">
        <f t="shared" si="30"/>
        <v>118.91</v>
      </c>
      <c r="M75" s="2"/>
      <c r="N75" s="7">
        <f t="shared" si="31"/>
        <v>0</v>
      </c>
      <c r="O75" s="11"/>
      <c r="P75" s="6">
        <v>118.91</v>
      </c>
      <c r="Q75" s="2"/>
      <c r="R75" s="7">
        <f t="shared" si="32"/>
        <v>5.7482391431263165E-5</v>
      </c>
      <c r="S75" s="2"/>
      <c r="T75" s="6"/>
      <c r="U75" s="2"/>
      <c r="V75" s="7">
        <f t="shared" si="33"/>
        <v>0</v>
      </c>
      <c r="W75" s="2"/>
      <c r="X75" s="6">
        <f t="shared" si="34"/>
        <v>118.91</v>
      </c>
      <c r="Y75" s="2"/>
      <c r="Z75" s="7">
        <f t="shared" si="35"/>
        <v>0</v>
      </c>
    </row>
    <row r="76" spans="1:26" s="28" customFormat="1" outlineLevel="1" collapsed="1" x14ac:dyDescent="0.3">
      <c r="A76" s="27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SUM(OSRRefD22_8x_0)</f>
        <v>0</v>
      </c>
      <c r="E76" s="1"/>
      <c r="F76" s="5">
        <f t="shared" si="28"/>
        <v>0</v>
      </c>
      <c r="G76" s="1"/>
      <c r="H76" s="1">
        <f>SUM(OSRRefH22_8x_0)</f>
        <v>50</v>
      </c>
      <c r="I76" s="1"/>
      <c r="J76" s="5">
        <f t="shared" si="29"/>
        <v>1.6217653889317755E-4</v>
      </c>
      <c r="K76" s="1"/>
      <c r="L76" s="1">
        <f t="shared" si="30"/>
        <v>-50</v>
      </c>
      <c r="M76" s="1"/>
      <c r="N76" s="5">
        <f t="shared" si="31"/>
        <v>-1</v>
      </c>
      <c r="O76" s="14"/>
      <c r="P76" s="1">
        <f>SUM(OSRRefP22_8x_0)</f>
        <v>929.29</v>
      </c>
      <c r="Q76" s="1"/>
      <c r="R76" s="5">
        <f t="shared" si="32"/>
        <v>4.4922892551642877E-4</v>
      </c>
      <c r="S76" s="1"/>
      <c r="T76" s="1">
        <f>SUM(OSRRefT22_8x_0)</f>
        <v>300</v>
      </c>
      <c r="U76" s="1"/>
      <c r="V76" s="5">
        <f t="shared" si="33"/>
        <v>1.7836726175930764E-4</v>
      </c>
      <c r="W76" s="1"/>
      <c r="X76" s="1">
        <f t="shared" si="34"/>
        <v>629.29</v>
      </c>
      <c r="Y76" s="1"/>
      <c r="Z76" s="5">
        <f t="shared" si="35"/>
        <v>2.097633333333333</v>
      </c>
    </row>
    <row r="77" spans="1:26" s="24" customFormat="1" hidden="1" outlineLevel="2" x14ac:dyDescent="0.3">
      <c r="A77" s="29"/>
      <c r="B77" s="11" t="str">
        <f>CONCATENATE("          ", "6305", " - ", "FREIGHT OUT")</f>
        <v xml:space="preserve">          6305 - FREIGHT OUT</v>
      </c>
      <c r="C77" s="11"/>
      <c r="D77" s="6"/>
      <c r="E77" s="2"/>
      <c r="F77" s="7">
        <f t="shared" si="28"/>
        <v>0</v>
      </c>
      <c r="G77" s="2"/>
      <c r="H77" s="6">
        <v>50</v>
      </c>
      <c r="I77" s="2"/>
      <c r="J77" s="7">
        <f t="shared" si="29"/>
        <v>1.6217653889317755E-4</v>
      </c>
      <c r="K77" s="2"/>
      <c r="L77" s="6">
        <f t="shared" si="30"/>
        <v>-50</v>
      </c>
      <c r="M77" s="2"/>
      <c r="N77" s="7">
        <f t="shared" si="31"/>
        <v>-1</v>
      </c>
      <c r="O77" s="11"/>
      <c r="P77" s="6">
        <v>893.87</v>
      </c>
      <c r="Q77" s="2"/>
      <c r="R77" s="7">
        <f t="shared" si="32"/>
        <v>4.3210651104754188E-4</v>
      </c>
      <c r="S77" s="2"/>
      <c r="T77" s="6">
        <v>300</v>
      </c>
      <c r="U77" s="2"/>
      <c r="V77" s="7">
        <f t="shared" si="33"/>
        <v>1.7836726175930764E-4</v>
      </c>
      <c r="W77" s="2"/>
      <c r="X77" s="6">
        <f t="shared" si="34"/>
        <v>593.87</v>
      </c>
      <c r="Y77" s="2"/>
      <c r="Z77" s="7">
        <f t="shared" si="35"/>
        <v>1.9795666666666667</v>
      </c>
    </row>
    <row r="78" spans="1:26" s="24" customFormat="1" hidden="1" outlineLevel="2" x14ac:dyDescent="0.3">
      <c r="A78" s="29"/>
      <c r="B78" s="11" t="str">
        <f>CONCATENATE("          ", "6307", " - ", "POSTAGE")</f>
        <v xml:space="preserve">          6307 - POSTAGE</v>
      </c>
      <c r="C78" s="11"/>
      <c r="D78" s="6"/>
      <c r="E78" s="2"/>
      <c r="F78" s="7">
        <f t="shared" si="28"/>
        <v>0</v>
      </c>
      <c r="G78" s="2"/>
      <c r="H78" s="6"/>
      <c r="I78" s="2"/>
      <c r="J78" s="7">
        <f t="shared" si="29"/>
        <v>0</v>
      </c>
      <c r="K78" s="2"/>
      <c r="L78" s="6">
        <f t="shared" si="30"/>
        <v>0</v>
      </c>
      <c r="M78" s="2"/>
      <c r="N78" s="7">
        <f t="shared" si="31"/>
        <v>0</v>
      </c>
      <c r="O78" s="11"/>
      <c r="P78" s="6">
        <v>35.42</v>
      </c>
      <c r="Q78" s="2"/>
      <c r="R78" s="7">
        <f t="shared" si="32"/>
        <v>1.7122414468886901E-5</v>
      </c>
      <c r="S78" s="2"/>
      <c r="T78" s="6"/>
      <c r="U78" s="2"/>
      <c r="V78" s="7">
        <f t="shared" si="33"/>
        <v>0</v>
      </c>
      <c r="W78" s="2"/>
      <c r="X78" s="6">
        <f t="shared" si="34"/>
        <v>35.42</v>
      </c>
      <c r="Y78" s="2"/>
      <c r="Z78" s="7">
        <f t="shared" si="35"/>
        <v>0</v>
      </c>
    </row>
    <row r="79" spans="1:26" s="28" customFormat="1" outlineLevel="1" collapsed="1" x14ac:dyDescent="0.3">
      <c r="A79" s="27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SUM(OSRRefD22_9x_0)</f>
        <v>160</v>
      </c>
      <c r="E79" s="1"/>
      <c r="F79" s="5">
        <f t="shared" ref="F79:F81" si="36">IF(D$12=0,0,D79/D$12)</f>
        <v>3.713165743929508E-4</v>
      </c>
      <c r="G79" s="1"/>
      <c r="H79" s="1">
        <f>SUM(OSRRefH22_9x_0)</f>
        <v>1125</v>
      </c>
      <c r="I79" s="1"/>
      <c r="J79" s="5">
        <f t="shared" ref="J79:J81" si="37">IF(H$12=0,0,H79/H$12)</f>
        <v>3.6489721250964951E-3</v>
      </c>
      <c r="K79" s="1"/>
      <c r="L79" s="1">
        <f t="shared" ref="L79:L81" si="38">+D79-H79</f>
        <v>-965</v>
      </c>
      <c r="M79" s="1"/>
      <c r="N79" s="5">
        <f t="shared" ref="N79:N81" si="39">IF(H79=0,0,L79/H79)</f>
        <v>-0.85777777777777775</v>
      </c>
      <c r="O79" s="14"/>
      <c r="P79" s="1">
        <f>SUM(OSRRefP22_9x_0)</f>
        <v>1295.0899999999999</v>
      </c>
      <c r="Q79" s="1"/>
      <c r="R79" s="5">
        <f t="shared" ref="R79:R81" si="40">IF(P$12=0,0,P79/P$12)</f>
        <v>6.2606063677331269E-4</v>
      </c>
      <c r="S79" s="1"/>
      <c r="T79" s="1">
        <f>SUM(OSRRefT22_9x_0)</f>
        <v>1250</v>
      </c>
      <c r="U79" s="1"/>
      <c r="V79" s="5">
        <f t="shared" ref="V79:V81" si="41">IF(T$12=0,0,T79/T$12)</f>
        <v>7.4319692399711515E-4</v>
      </c>
      <c r="W79" s="1"/>
      <c r="X79" s="1">
        <f t="shared" ref="X79:X81" si="42">+P79-T79</f>
        <v>45.089999999999918</v>
      </c>
      <c r="Y79" s="1"/>
      <c r="Z79" s="5">
        <f t="shared" ref="Z79:Z81" si="43">IF(T79=0,0,X79/T79)</f>
        <v>3.6071999999999937E-2</v>
      </c>
    </row>
    <row r="80" spans="1:26" s="24" customFormat="1" hidden="1" outlineLevel="2" x14ac:dyDescent="0.3">
      <c r="A80" s="29"/>
      <c r="B80" s="11" t="str">
        <f>CONCATENATE("          ", "6276", " - ", "PROPERTY TAX")</f>
        <v xml:space="preserve">          6276 - PROPERTY TAX</v>
      </c>
      <c r="C80" s="11"/>
      <c r="D80" s="6"/>
      <c r="E80" s="2"/>
      <c r="F80" s="7">
        <f t="shared" si="36"/>
        <v>0</v>
      </c>
      <c r="G80" s="2"/>
      <c r="H80" s="6">
        <v>1125</v>
      </c>
      <c r="I80" s="2"/>
      <c r="J80" s="7">
        <f t="shared" si="37"/>
        <v>3.6489721250964951E-3</v>
      </c>
      <c r="K80" s="2"/>
      <c r="L80" s="6">
        <f t="shared" si="38"/>
        <v>-1125</v>
      </c>
      <c r="M80" s="2"/>
      <c r="N80" s="7">
        <f t="shared" si="39"/>
        <v>-1</v>
      </c>
      <c r="O80" s="11"/>
      <c r="P80" s="6"/>
      <c r="Q80" s="2"/>
      <c r="R80" s="7">
        <f t="shared" si="40"/>
        <v>0</v>
      </c>
      <c r="S80" s="2"/>
      <c r="T80" s="6">
        <v>1250</v>
      </c>
      <c r="U80" s="2"/>
      <c r="V80" s="7">
        <f t="shared" si="41"/>
        <v>7.4319692399711515E-4</v>
      </c>
      <c r="W80" s="2"/>
      <c r="X80" s="6">
        <f t="shared" si="42"/>
        <v>-1250</v>
      </c>
      <c r="Y80" s="2"/>
      <c r="Z80" s="7">
        <f t="shared" si="43"/>
        <v>-1</v>
      </c>
    </row>
    <row r="81" spans="1:26" s="24" customFormat="1" hidden="1" outlineLevel="2" x14ac:dyDescent="0.3">
      <c r="A81" s="29"/>
      <c r="B81" s="11" t="str">
        <f>CONCATENATE("          ", "6279", " - ", "GENERAL EXPENSE")</f>
        <v xml:space="preserve">          6279 - GENERAL EXPENSE</v>
      </c>
      <c r="C81" s="11"/>
      <c r="D81" s="6">
        <v>160</v>
      </c>
      <c r="E81" s="2"/>
      <c r="F81" s="7">
        <f t="shared" si="36"/>
        <v>3.713165743929508E-4</v>
      </c>
      <c r="G81" s="2"/>
      <c r="H81" s="6">
        <v>0</v>
      </c>
      <c r="I81" s="2"/>
      <c r="J81" s="7">
        <f t="shared" si="37"/>
        <v>0</v>
      </c>
      <c r="K81" s="2"/>
      <c r="L81" s="6">
        <f t="shared" si="38"/>
        <v>160</v>
      </c>
      <c r="M81" s="2"/>
      <c r="N81" s="7">
        <f t="shared" si="39"/>
        <v>0</v>
      </c>
      <c r="O81" s="11"/>
      <c r="P81" s="6">
        <v>1295.0899999999999</v>
      </c>
      <c r="Q81" s="2"/>
      <c r="R81" s="7">
        <f t="shared" si="40"/>
        <v>6.2606063677331269E-4</v>
      </c>
      <c r="S81" s="2"/>
      <c r="T81" s="6">
        <v>0</v>
      </c>
      <c r="U81" s="2"/>
      <c r="V81" s="7">
        <f t="shared" si="41"/>
        <v>0</v>
      </c>
      <c r="W81" s="2"/>
      <c r="X81" s="6">
        <f t="shared" si="42"/>
        <v>1295.0899999999999</v>
      </c>
      <c r="Y81" s="2"/>
      <c r="Z81" s="7">
        <f t="shared" si="43"/>
        <v>0</v>
      </c>
    </row>
    <row r="82" spans="1:26" s="28" customFormat="1" outlineLevel="1" collapsed="1" x14ac:dyDescent="0.3">
      <c r="A82" s="27"/>
      <c r="B82" s="14" t="str">
        <f>CONCATENATE("     ","Insurance                                         ")</f>
        <v xml:space="preserve">     Insurance                                         </v>
      </c>
      <c r="C82" s="14"/>
      <c r="D82" s="1">
        <f>SUM(OSRRefD22_10x_0)</f>
        <v>219.08</v>
      </c>
      <c r="E82" s="1"/>
      <c r="F82" s="5">
        <f t="shared" ref="F82:F92" si="44">IF(D$12=0,0,D82/D$12)</f>
        <v>5.0842521948754789E-4</v>
      </c>
      <c r="G82" s="1"/>
      <c r="H82" s="1">
        <f>SUM(OSRRefH22_10x_0)</f>
        <v>175</v>
      </c>
      <c r="I82" s="1"/>
      <c r="J82" s="5">
        <f t="shared" ref="J82:J92" si="45">IF(H$12=0,0,H82/H$12)</f>
        <v>5.6761788612612145E-4</v>
      </c>
      <c r="K82" s="1"/>
      <c r="L82" s="1">
        <f t="shared" ref="L82:L92" si="46">+D82-H82</f>
        <v>44.080000000000013</v>
      </c>
      <c r="M82" s="1"/>
      <c r="N82" s="5">
        <f t="shared" ref="N82:N92" si="47">IF(H82=0,0,L82/H82)</f>
        <v>0.25188571428571438</v>
      </c>
      <c r="O82" s="14"/>
      <c r="P82" s="1">
        <f>SUM(OSRRefP22_10x_0)</f>
        <v>1314.48</v>
      </c>
      <c r="Q82" s="1"/>
      <c r="R82" s="5">
        <f t="shared" ref="R82:R92" si="48">IF(P$12=0,0,P82/P$12)</f>
        <v>6.3543397433829627E-4</v>
      </c>
      <c r="S82" s="1"/>
      <c r="T82" s="1">
        <f>SUM(OSRRefT22_10x_0)</f>
        <v>1050</v>
      </c>
      <c r="U82" s="1"/>
      <c r="V82" s="5">
        <f t="shared" ref="V82:V92" si="49">IF(T$12=0,0,T82/T$12)</f>
        <v>6.2428541615757675E-4</v>
      </c>
      <c r="W82" s="1"/>
      <c r="X82" s="1">
        <f t="shared" ref="X82:X92" si="50">+P82-T82</f>
        <v>264.48</v>
      </c>
      <c r="Y82" s="1"/>
      <c r="Z82" s="5">
        <f t="shared" ref="Z82:Z92" si="51">IF(T82=0,0,X82/T82)</f>
        <v>0.25188571428571432</v>
      </c>
    </row>
    <row r="83" spans="1:26" s="24" customFormat="1" hidden="1" outlineLevel="2" x14ac:dyDescent="0.3">
      <c r="A83" s="29"/>
      <c r="B83" s="11" t="str">
        <f>CONCATENATE("          ", "6314", " - ", "LIABILITY INSURANCE")</f>
        <v xml:space="preserve">          6314 - LIABILITY INSURANCE</v>
      </c>
      <c r="C83" s="11"/>
      <c r="D83" s="6">
        <v>219.08</v>
      </c>
      <c r="E83" s="2"/>
      <c r="F83" s="7">
        <f t="shared" si="44"/>
        <v>5.0842521948754789E-4</v>
      </c>
      <c r="G83" s="2"/>
      <c r="H83" s="6">
        <v>175</v>
      </c>
      <c r="I83" s="2"/>
      <c r="J83" s="7">
        <f t="shared" si="45"/>
        <v>5.6761788612612145E-4</v>
      </c>
      <c r="K83" s="2"/>
      <c r="L83" s="6">
        <f t="shared" si="46"/>
        <v>44.080000000000013</v>
      </c>
      <c r="M83" s="2"/>
      <c r="N83" s="7">
        <f t="shared" si="47"/>
        <v>0.25188571428571438</v>
      </c>
      <c r="O83" s="11"/>
      <c r="P83" s="6">
        <v>1314.48</v>
      </c>
      <c r="Q83" s="2"/>
      <c r="R83" s="7">
        <f t="shared" si="48"/>
        <v>6.3543397433829627E-4</v>
      </c>
      <c r="S83" s="2"/>
      <c r="T83" s="6">
        <v>1050</v>
      </c>
      <c r="U83" s="2"/>
      <c r="V83" s="7">
        <f t="shared" si="49"/>
        <v>6.2428541615757675E-4</v>
      </c>
      <c r="W83" s="2"/>
      <c r="X83" s="6">
        <f t="shared" si="50"/>
        <v>264.48</v>
      </c>
      <c r="Y83" s="2"/>
      <c r="Z83" s="7">
        <f t="shared" si="51"/>
        <v>0.25188571428571432</v>
      </c>
    </row>
    <row r="84" spans="1:26" s="28" customFormat="1" outlineLevel="1" collapsed="1" x14ac:dyDescent="0.3">
      <c r="A84" s="27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SUM(OSRRefD22_11x_0)</f>
        <v>3450</v>
      </c>
      <c r="E84" s="1"/>
      <c r="F84" s="5">
        <f t="shared" si="44"/>
        <v>8.0065136353480015E-3</v>
      </c>
      <c r="G84" s="1"/>
      <c r="H84" s="1">
        <f>SUM(OSRRefH22_11x_0)</f>
        <v>3450</v>
      </c>
      <c r="I84" s="1"/>
      <c r="J84" s="5">
        <f t="shared" si="45"/>
        <v>1.1190181183629251E-2</v>
      </c>
      <c r="K84" s="1"/>
      <c r="L84" s="1">
        <f t="shared" si="46"/>
        <v>0</v>
      </c>
      <c r="M84" s="1"/>
      <c r="N84" s="5">
        <f t="shared" si="47"/>
        <v>0</v>
      </c>
      <c r="O84" s="14"/>
      <c r="P84" s="1">
        <f>SUM(OSRRefP22_11x_0)</f>
        <v>20700</v>
      </c>
      <c r="Q84" s="1"/>
      <c r="R84" s="5">
        <f t="shared" si="48"/>
        <v>1.0006605858440397E-2</v>
      </c>
      <c r="S84" s="1"/>
      <c r="T84" s="1">
        <f>SUM(OSRRefT22_11x_0)</f>
        <v>20700</v>
      </c>
      <c r="U84" s="1"/>
      <c r="V84" s="5">
        <f t="shared" si="49"/>
        <v>1.2307341061392228E-2</v>
      </c>
      <c r="W84" s="1"/>
      <c r="X84" s="1">
        <f t="shared" si="50"/>
        <v>0</v>
      </c>
      <c r="Y84" s="1"/>
      <c r="Z84" s="5">
        <f t="shared" si="51"/>
        <v>0</v>
      </c>
    </row>
    <row r="85" spans="1:26" s="24" customFormat="1" hidden="1" outlineLevel="2" x14ac:dyDescent="0.3">
      <c r="A85" s="29"/>
      <c r="B85" s="11" t="str">
        <f>CONCATENATE("          ", "6408", " - ", "INVENTORY ADJUSTMENT")</f>
        <v xml:space="preserve">          6408 - INVENTORY ADJUSTMENT</v>
      </c>
      <c r="C85" s="11"/>
      <c r="D85" s="6">
        <v>3450</v>
      </c>
      <c r="E85" s="2"/>
      <c r="F85" s="7">
        <f t="shared" si="44"/>
        <v>8.0065136353480015E-3</v>
      </c>
      <c r="G85" s="2"/>
      <c r="H85" s="6">
        <v>3450</v>
      </c>
      <c r="I85" s="2"/>
      <c r="J85" s="7">
        <f t="shared" si="45"/>
        <v>1.1190181183629251E-2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>
        <v>20700</v>
      </c>
      <c r="Q85" s="2"/>
      <c r="R85" s="7">
        <f t="shared" si="48"/>
        <v>1.0006605858440397E-2</v>
      </c>
      <c r="S85" s="2"/>
      <c r="T85" s="6">
        <v>20700</v>
      </c>
      <c r="U85" s="2"/>
      <c r="V85" s="7">
        <f t="shared" si="49"/>
        <v>1.2307341061392228E-2</v>
      </c>
      <c r="W85" s="2"/>
      <c r="X85" s="6">
        <f t="shared" si="50"/>
        <v>0</v>
      </c>
      <c r="Y85" s="2"/>
      <c r="Z85" s="7">
        <f t="shared" si="51"/>
        <v>0</v>
      </c>
    </row>
    <row r="86" spans="1:26" s="28" customFormat="1" outlineLevel="1" collapsed="1" x14ac:dyDescent="0.3">
      <c r="A86" s="27"/>
      <c r="B86" s="14" t="str">
        <f>CONCATENATE("     ","Professional Services                             ")</f>
        <v xml:space="preserve">     Professional Services                             </v>
      </c>
      <c r="C86" s="14"/>
      <c r="D86" s="1">
        <f>SUM(OSRRefD22_12x_0)</f>
        <v>0</v>
      </c>
      <c r="E86" s="1"/>
      <c r="F86" s="5">
        <f t="shared" si="44"/>
        <v>0</v>
      </c>
      <c r="G86" s="1"/>
      <c r="H86" s="1">
        <f>SUM(OSRRefH22_12x_0)</f>
        <v>0</v>
      </c>
      <c r="I86" s="1"/>
      <c r="J86" s="5">
        <f t="shared" si="45"/>
        <v>0</v>
      </c>
      <c r="K86" s="1"/>
      <c r="L86" s="1">
        <f t="shared" si="46"/>
        <v>0</v>
      </c>
      <c r="M86" s="1"/>
      <c r="N86" s="5">
        <f t="shared" si="47"/>
        <v>0</v>
      </c>
      <c r="O86" s="14"/>
      <c r="P86" s="1">
        <f>SUM(OSRRefP22_12x_0)</f>
        <v>669.1</v>
      </c>
      <c r="Q86" s="1"/>
      <c r="R86" s="5">
        <f t="shared" si="48"/>
        <v>3.2345024057403235E-4</v>
      </c>
      <c r="S86" s="1"/>
      <c r="T86" s="1">
        <f>SUM(OSRRefT22_12x_0)</f>
        <v>1250</v>
      </c>
      <c r="U86" s="1"/>
      <c r="V86" s="5">
        <f t="shared" si="49"/>
        <v>7.4319692399711515E-4</v>
      </c>
      <c r="W86" s="1"/>
      <c r="X86" s="1">
        <f t="shared" si="50"/>
        <v>-580.9</v>
      </c>
      <c r="Y86" s="1"/>
      <c r="Z86" s="5">
        <f t="shared" si="51"/>
        <v>-0.46471999999999997</v>
      </c>
    </row>
    <row r="87" spans="1:26" s="24" customFormat="1" hidden="1" outlineLevel="2" x14ac:dyDescent="0.3">
      <c r="A87" s="29"/>
      <c r="B87" s="11" t="str">
        <f>CONCATENATE("          ", "6336", " - ", "PROFESSIONAL SERVICES")</f>
        <v xml:space="preserve">          6336 - PROFESSIONAL SERVICES</v>
      </c>
      <c r="C87" s="11"/>
      <c r="D87" s="6"/>
      <c r="E87" s="2"/>
      <c r="F87" s="7">
        <f t="shared" si="44"/>
        <v>0</v>
      </c>
      <c r="G87" s="2"/>
      <c r="H87" s="6">
        <v>0</v>
      </c>
      <c r="I87" s="2"/>
      <c r="J87" s="7">
        <f t="shared" si="45"/>
        <v>0</v>
      </c>
      <c r="K87" s="2"/>
      <c r="L87" s="6">
        <f t="shared" si="46"/>
        <v>0</v>
      </c>
      <c r="M87" s="2"/>
      <c r="N87" s="7">
        <f t="shared" si="47"/>
        <v>0</v>
      </c>
      <c r="O87" s="11"/>
      <c r="P87" s="6">
        <v>669.1</v>
      </c>
      <c r="Q87" s="2"/>
      <c r="R87" s="7">
        <f t="shared" si="48"/>
        <v>3.2345024057403235E-4</v>
      </c>
      <c r="S87" s="2"/>
      <c r="T87" s="6">
        <v>1250</v>
      </c>
      <c r="U87" s="2"/>
      <c r="V87" s="7">
        <f t="shared" si="49"/>
        <v>7.4319692399711515E-4</v>
      </c>
      <c r="W87" s="2"/>
      <c r="X87" s="6">
        <f t="shared" si="50"/>
        <v>-580.9</v>
      </c>
      <c r="Y87" s="2"/>
      <c r="Z87" s="7">
        <f t="shared" si="51"/>
        <v>-0.46471999999999997</v>
      </c>
    </row>
    <row r="88" spans="1:26" s="28" customFormat="1" outlineLevel="1" collapsed="1" x14ac:dyDescent="0.3">
      <c r="A88" s="27"/>
      <c r="B88" s="14" t="str">
        <f>CONCATENATE("     ","Rent                                              ")</f>
        <v xml:space="preserve">     Rent                                              </v>
      </c>
      <c r="C88" s="14"/>
      <c r="D88" s="1">
        <f>SUM(OSRRefD22_13x_0)</f>
        <v>6900</v>
      </c>
      <c r="E88" s="1"/>
      <c r="F88" s="5">
        <f t="shared" si="44"/>
        <v>1.6013027270696003E-2</v>
      </c>
      <c r="G88" s="1"/>
      <c r="H88" s="1">
        <f>SUM(OSRRefH22_13x_0)</f>
        <v>6900</v>
      </c>
      <c r="I88" s="1"/>
      <c r="J88" s="5">
        <f t="shared" si="45"/>
        <v>2.2380362367258502E-2</v>
      </c>
      <c r="K88" s="1"/>
      <c r="L88" s="1">
        <f t="shared" si="46"/>
        <v>0</v>
      </c>
      <c r="M88" s="1"/>
      <c r="N88" s="5">
        <f t="shared" si="47"/>
        <v>0</v>
      </c>
      <c r="O88" s="14"/>
      <c r="P88" s="1">
        <f>SUM(OSRRefP22_13x_0)</f>
        <v>41400</v>
      </c>
      <c r="Q88" s="1"/>
      <c r="R88" s="5">
        <f t="shared" si="48"/>
        <v>2.0013211716880794E-2</v>
      </c>
      <c r="S88" s="1"/>
      <c r="T88" s="1">
        <f>SUM(OSRRefT22_13x_0)</f>
        <v>41400</v>
      </c>
      <c r="U88" s="1"/>
      <c r="V88" s="5">
        <f t="shared" si="49"/>
        <v>2.4614682122784455E-2</v>
      </c>
      <c r="W88" s="1"/>
      <c r="X88" s="1">
        <f t="shared" si="50"/>
        <v>0</v>
      </c>
      <c r="Y88" s="1"/>
      <c r="Z88" s="5">
        <f t="shared" si="51"/>
        <v>0</v>
      </c>
    </row>
    <row r="89" spans="1:26" s="24" customFormat="1" hidden="1" outlineLevel="2" x14ac:dyDescent="0.3">
      <c r="A89" s="29"/>
      <c r="B89" s="11" t="str">
        <f>CONCATENATE("          ", "6273", " - ", "RENT")</f>
        <v xml:space="preserve">          6273 - RENT</v>
      </c>
      <c r="C89" s="11"/>
      <c r="D89" s="6">
        <v>6900</v>
      </c>
      <c r="E89" s="2"/>
      <c r="F89" s="7">
        <f t="shared" si="44"/>
        <v>1.6013027270696003E-2</v>
      </c>
      <c r="G89" s="2"/>
      <c r="H89" s="6">
        <v>6900</v>
      </c>
      <c r="I89" s="2"/>
      <c r="J89" s="7">
        <f t="shared" si="45"/>
        <v>2.2380362367258502E-2</v>
      </c>
      <c r="K89" s="2"/>
      <c r="L89" s="6">
        <f t="shared" si="46"/>
        <v>0</v>
      </c>
      <c r="M89" s="2"/>
      <c r="N89" s="7">
        <f t="shared" si="47"/>
        <v>0</v>
      </c>
      <c r="O89" s="11"/>
      <c r="P89" s="6">
        <v>41400</v>
      </c>
      <c r="Q89" s="2"/>
      <c r="R89" s="7">
        <f t="shared" si="48"/>
        <v>2.0013211716880794E-2</v>
      </c>
      <c r="S89" s="2"/>
      <c r="T89" s="6">
        <v>41400</v>
      </c>
      <c r="U89" s="2"/>
      <c r="V89" s="7">
        <f t="shared" si="49"/>
        <v>2.4614682122784455E-2</v>
      </c>
      <c r="W89" s="2"/>
      <c r="X89" s="6">
        <f t="shared" si="50"/>
        <v>0</v>
      </c>
      <c r="Y89" s="2"/>
      <c r="Z89" s="7">
        <f t="shared" si="51"/>
        <v>0</v>
      </c>
    </row>
    <row r="90" spans="1:26" s="28" customFormat="1" outlineLevel="1" collapsed="1" x14ac:dyDescent="0.3">
      <c r="A90" s="27"/>
      <c r="B90" s="14" t="str">
        <f>CONCATENATE("     ","Repair and Maintenance                            ")</f>
        <v xml:space="preserve">     Repair and Maintenance                            </v>
      </c>
      <c r="C90" s="14"/>
      <c r="D90" s="1">
        <f>SUM(OSRRefD22_14x_0)</f>
        <v>1957.97</v>
      </c>
      <c r="E90" s="1"/>
      <c r="F90" s="5">
        <f t="shared" si="44"/>
        <v>4.5439169572760365E-3</v>
      </c>
      <c r="G90" s="1"/>
      <c r="H90" s="1">
        <f>SUM(OSRRefH22_14x_0)</f>
        <v>115</v>
      </c>
      <c r="I90" s="1"/>
      <c r="J90" s="5">
        <f t="shared" si="45"/>
        <v>3.7300603945430836E-4</v>
      </c>
      <c r="K90" s="1"/>
      <c r="L90" s="1">
        <f t="shared" si="46"/>
        <v>1842.97</v>
      </c>
      <c r="M90" s="1"/>
      <c r="N90" s="5">
        <f t="shared" si="47"/>
        <v>16.025826086956521</v>
      </c>
      <c r="O90" s="14"/>
      <c r="P90" s="1">
        <f>SUM(OSRRefP22_14x_0)</f>
        <v>2970.9300000000003</v>
      </c>
      <c r="Q90" s="1"/>
      <c r="R90" s="5">
        <f t="shared" si="48"/>
        <v>1.4361799779234942E-3</v>
      </c>
      <c r="S90" s="1"/>
      <c r="T90" s="1">
        <f>SUM(OSRRefT22_14x_0)</f>
        <v>690</v>
      </c>
      <c r="U90" s="1"/>
      <c r="V90" s="5">
        <f t="shared" si="49"/>
        <v>4.1024470204640759E-4</v>
      </c>
      <c r="W90" s="1"/>
      <c r="X90" s="1">
        <f t="shared" si="50"/>
        <v>2280.9300000000003</v>
      </c>
      <c r="Y90" s="1"/>
      <c r="Z90" s="5">
        <f t="shared" si="51"/>
        <v>3.3056956521739136</v>
      </c>
    </row>
    <row r="91" spans="1:26" s="24" customFormat="1" hidden="1" outlineLevel="2" x14ac:dyDescent="0.3">
      <c r="A91" s="29"/>
      <c r="B91" s="11" t="str">
        <f>CONCATENATE("          ", "6373", " - ", "MAINTENANCE CONTRACTS")</f>
        <v xml:space="preserve">          6373 - MAINTENANCE CONTRACTS</v>
      </c>
      <c r="C91" s="11"/>
      <c r="D91" s="6">
        <v>232.93</v>
      </c>
      <c r="E91" s="2"/>
      <c r="F91" s="7">
        <f t="shared" si="44"/>
        <v>5.4056731045843765E-4</v>
      </c>
      <c r="G91" s="2"/>
      <c r="H91" s="6">
        <v>115</v>
      </c>
      <c r="I91" s="2"/>
      <c r="J91" s="7">
        <f t="shared" si="45"/>
        <v>3.7300603945430836E-4</v>
      </c>
      <c r="K91" s="2"/>
      <c r="L91" s="6">
        <f t="shared" si="46"/>
        <v>117.93</v>
      </c>
      <c r="M91" s="2"/>
      <c r="N91" s="7">
        <f t="shared" si="47"/>
        <v>1.0254782608695652</v>
      </c>
      <c r="O91" s="11"/>
      <c r="P91" s="6">
        <v>469.53</v>
      </c>
      <c r="Q91" s="2"/>
      <c r="R91" s="7">
        <f t="shared" si="48"/>
        <v>2.269759250586241E-4</v>
      </c>
      <c r="S91" s="2"/>
      <c r="T91" s="6">
        <v>690</v>
      </c>
      <c r="U91" s="2"/>
      <c r="V91" s="7">
        <f t="shared" si="49"/>
        <v>4.1024470204640759E-4</v>
      </c>
      <c r="W91" s="2"/>
      <c r="X91" s="6">
        <f t="shared" si="50"/>
        <v>-220.47000000000003</v>
      </c>
      <c r="Y91" s="2"/>
      <c r="Z91" s="7">
        <f t="shared" si="51"/>
        <v>-0.3195217391304348</v>
      </c>
    </row>
    <row r="92" spans="1:26" s="24" customFormat="1" hidden="1" outlineLevel="2" x14ac:dyDescent="0.3">
      <c r="A92" s="29"/>
      <c r="B92" s="11" t="str">
        <f>CONCATENATE("          ", "6375", " - ", "OUTSIDE REPAIRS &amp; MAINTENANCE")</f>
        <v xml:space="preserve">          6375 - OUTSIDE REPAIRS &amp; MAINTENANCE</v>
      </c>
      <c r="C92" s="11"/>
      <c r="D92" s="6">
        <v>1725.04</v>
      </c>
      <c r="E92" s="2"/>
      <c r="F92" s="7">
        <f t="shared" si="44"/>
        <v>4.0033496468175993E-3</v>
      </c>
      <c r="G92" s="2"/>
      <c r="H92" s="6">
        <v>0</v>
      </c>
      <c r="I92" s="2"/>
      <c r="J92" s="7">
        <f t="shared" si="45"/>
        <v>0</v>
      </c>
      <c r="K92" s="2"/>
      <c r="L92" s="6">
        <f t="shared" si="46"/>
        <v>1725.04</v>
      </c>
      <c r="M92" s="2"/>
      <c r="N92" s="7">
        <f t="shared" si="47"/>
        <v>0</v>
      </c>
      <c r="O92" s="11"/>
      <c r="P92" s="6">
        <v>2501.4</v>
      </c>
      <c r="Q92" s="2"/>
      <c r="R92" s="7">
        <f t="shared" si="48"/>
        <v>1.20920405286487E-3</v>
      </c>
      <c r="S92" s="2"/>
      <c r="T92" s="6">
        <v>0</v>
      </c>
      <c r="U92" s="2"/>
      <c r="V92" s="7">
        <f t="shared" si="49"/>
        <v>0</v>
      </c>
      <c r="W92" s="2"/>
      <c r="X92" s="6">
        <f t="shared" si="50"/>
        <v>2501.4</v>
      </c>
      <c r="Y92" s="2"/>
      <c r="Z92" s="7">
        <f t="shared" si="51"/>
        <v>0</v>
      </c>
    </row>
    <row r="93" spans="1:26" s="28" customFormat="1" outlineLevel="1" collapsed="1" x14ac:dyDescent="0.3">
      <c r="A93" s="27"/>
      <c r="B93" s="14" t="str">
        <f>CONCATENATE("     ","Royalty &amp; Commissions                             ")</f>
        <v xml:space="preserve">     Royalty &amp; Commissions                             </v>
      </c>
      <c r="C93" s="14"/>
      <c r="D93" s="1">
        <f>SUM(OSRRefD22_15x_0)</f>
        <v>0</v>
      </c>
      <c r="E93" s="1"/>
      <c r="F93" s="5">
        <f t="shared" ref="F93:F96" si="52">IF(D$12=0,0,D93/D$12)</f>
        <v>0</v>
      </c>
      <c r="G93" s="1"/>
      <c r="H93" s="1">
        <f>SUM(OSRRefH22_15x_0)</f>
        <v>1906</v>
      </c>
      <c r="I93" s="1"/>
      <c r="J93" s="5">
        <f t="shared" ref="J93:J96" si="53">IF(H$12=0,0,H93/H$12)</f>
        <v>6.1821696626079281E-3</v>
      </c>
      <c r="K93" s="1"/>
      <c r="L93" s="1">
        <f t="shared" ref="L93:L96" si="54">+D93-H93</f>
        <v>-1906</v>
      </c>
      <c r="M93" s="1"/>
      <c r="N93" s="5">
        <f t="shared" ref="N93:N96" si="55">IF(H93=0,0,L93/H93)</f>
        <v>-1</v>
      </c>
      <c r="O93" s="14"/>
      <c r="P93" s="1">
        <f>SUM(OSRRefP22_15x_0)</f>
        <v>16132.79</v>
      </c>
      <c r="Q93" s="1"/>
      <c r="R93" s="5">
        <f t="shared" ref="R93:R96" si="56">IF(P$12=0,0,P93/P$12)</f>
        <v>7.7987667114487267E-3</v>
      </c>
      <c r="S93" s="1"/>
      <c r="T93" s="1">
        <f>SUM(OSRRefT22_15x_0)</f>
        <v>26392</v>
      </c>
      <c r="U93" s="1"/>
      <c r="V93" s="5">
        <f t="shared" ref="V93:V96" si="57">IF(T$12=0,0,T93/T$12)</f>
        <v>1.5691562574505491E-2</v>
      </c>
      <c r="W93" s="1"/>
      <c r="X93" s="1">
        <f t="shared" ref="X93:X96" si="58">+P93-T93</f>
        <v>-10259.209999999999</v>
      </c>
      <c r="Y93" s="1"/>
      <c r="Z93" s="5">
        <f t="shared" ref="Z93:Z96" si="59">IF(T93=0,0,X93/T93)</f>
        <v>-0.38872423461655042</v>
      </c>
    </row>
    <row r="94" spans="1:26" s="24" customFormat="1" hidden="1" outlineLevel="2" x14ac:dyDescent="0.3">
      <c r="A94" s="29"/>
      <c r="B94" s="11" t="str">
        <f>CONCATENATE("          ", "6252", " - ", "ROYALTY DUE CSTV")</f>
        <v xml:space="preserve">          6252 - ROYALTY DUE CSTV</v>
      </c>
      <c r="C94" s="11"/>
      <c r="D94" s="6"/>
      <c r="E94" s="2"/>
      <c r="F94" s="7">
        <f t="shared" si="52"/>
        <v>0</v>
      </c>
      <c r="G94" s="2"/>
      <c r="H94" s="6">
        <v>1906</v>
      </c>
      <c r="I94" s="2"/>
      <c r="J94" s="7">
        <f t="shared" si="53"/>
        <v>6.1821696626079281E-3</v>
      </c>
      <c r="K94" s="2"/>
      <c r="L94" s="6">
        <f t="shared" si="54"/>
        <v>-1906</v>
      </c>
      <c r="M94" s="2"/>
      <c r="N94" s="7">
        <f t="shared" si="55"/>
        <v>-1</v>
      </c>
      <c r="O94" s="11"/>
      <c r="P94" s="6"/>
      <c r="Q94" s="2"/>
      <c r="R94" s="7">
        <f t="shared" si="56"/>
        <v>0</v>
      </c>
      <c r="S94" s="2"/>
      <c r="T94" s="6">
        <v>10230</v>
      </c>
      <c r="U94" s="2"/>
      <c r="V94" s="7">
        <f t="shared" si="57"/>
        <v>6.0823236259923905E-3</v>
      </c>
      <c r="W94" s="2"/>
      <c r="X94" s="6">
        <f t="shared" si="58"/>
        <v>-10230</v>
      </c>
      <c r="Y94" s="2"/>
      <c r="Z94" s="7">
        <f t="shared" si="59"/>
        <v>-1</v>
      </c>
    </row>
    <row r="95" spans="1:26" s="24" customFormat="1" hidden="1" outlineLevel="2" x14ac:dyDescent="0.3">
      <c r="A95" s="29"/>
      <c r="B95" s="11" t="str">
        <f>CONCATENATE("          ", "6253", " - ", "ROYALTY DUE ATHLETICS-LRG")</f>
        <v xml:space="preserve">          6253 - ROYALTY DUE ATHLETICS-LRG</v>
      </c>
      <c r="C95" s="11"/>
      <c r="D95" s="6"/>
      <c r="E95" s="2"/>
      <c r="F95" s="7">
        <f t="shared" si="52"/>
        <v>0</v>
      </c>
      <c r="G95" s="2"/>
      <c r="H95" s="6">
        <v>0</v>
      </c>
      <c r="I95" s="2"/>
      <c r="J95" s="7">
        <f t="shared" si="53"/>
        <v>0</v>
      </c>
      <c r="K95" s="2"/>
      <c r="L95" s="6">
        <f t="shared" si="54"/>
        <v>0</v>
      </c>
      <c r="M95" s="2"/>
      <c r="N95" s="7">
        <f t="shared" si="55"/>
        <v>0</v>
      </c>
      <c r="O95" s="11"/>
      <c r="P95" s="6">
        <v>23160.29</v>
      </c>
      <c r="Q95" s="2"/>
      <c r="R95" s="7">
        <f t="shared" si="56"/>
        <v>1.1195936888752585E-2</v>
      </c>
      <c r="S95" s="2"/>
      <c r="T95" s="6">
        <v>16162</v>
      </c>
      <c r="U95" s="2"/>
      <c r="V95" s="7">
        <f t="shared" si="57"/>
        <v>9.6092389485131005E-3</v>
      </c>
      <c r="W95" s="2"/>
      <c r="X95" s="6">
        <f t="shared" si="58"/>
        <v>6998.2900000000009</v>
      </c>
      <c r="Y95" s="2"/>
      <c r="Z95" s="7">
        <f t="shared" si="59"/>
        <v>0.43300890978839257</v>
      </c>
    </row>
    <row r="96" spans="1:26" s="24" customFormat="1" hidden="1" outlineLevel="2" x14ac:dyDescent="0.3">
      <c r="A96" s="29"/>
      <c r="B96" s="11" t="str">
        <f>CONCATENATE("          ", "6254", " - ", "ROYALTY &amp; COMMISSIONS")</f>
        <v xml:space="preserve">          6254 - ROYALTY &amp; COMMISSIONS</v>
      </c>
      <c r="C96" s="11"/>
      <c r="D96" s="6">
        <v>0</v>
      </c>
      <c r="E96" s="2"/>
      <c r="F96" s="7">
        <f t="shared" si="52"/>
        <v>0</v>
      </c>
      <c r="G96" s="2"/>
      <c r="H96" s="6">
        <v>0</v>
      </c>
      <c r="I96" s="2"/>
      <c r="J96" s="7">
        <f t="shared" si="53"/>
        <v>0</v>
      </c>
      <c r="K96" s="2"/>
      <c r="L96" s="6">
        <f t="shared" si="54"/>
        <v>0</v>
      </c>
      <c r="M96" s="2"/>
      <c r="N96" s="7">
        <f t="shared" si="55"/>
        <v>0</v>
      </c>
      <c r="O96" s="11"/>
      <c r="P96" s="6">
        <v>-7027.5</v>
      </c>
      <c r="Q96" s="2"/>
      <c r="R96" s="7">
        <f t="shared" si="56"/>
        <v>-3.3971701773038592E-3</v>
      </c>
      <c r="S96" s="2"/>
      <c r="T96" s="6">
        <v>0</v>
      </c>
      <c r="U96" s="2"/>
      <c r="V96" s="7">
        <f t="shared" si="57"/>
        <v>0</v>
      </c>
      <c r="W96" s="2"/>
      <c r="X96" s="6">
        <f t="shared" si="58"/>
        <v>-7027.5</v>
      </c>
      <c r="Y96" s="2"/>
      <c r="Z96" s="7">
        <f t="shared" si="59"/>
        <v>0</v>
      </c>
    </row>
    <row r="97" spans="1:26" s="28" customFormat="1" outlineLevel="1" collapsed="1" x14ac:dyDescent="0.3">
      <c r="A97" s="27"/>
      <c r="B97" s="14" t="str">
        <f>CONCATENATE("     ","Services                                          ")</f>
        <v xml:space="preserve">     Services                                          </v>
      </c>
      <c r="C97" s="14"/>
      <c r="D97" s="1">
        <f>SUM(OSRRefD22_16x_0)</f>
        <v>223.45</v>
      </c>
      <c r="E97" s="1"/>
      <c r="F97" s="5">
        <f t="shared" ref="F97:F99" si="60">IF(D$12=0,0,D97/D$12)</f>
        <v>5.1856680342565536E-4</v>
      </c>
      <c r="G97" s="1"/>
      <c r="H97" s="1">
        <f>SUM(OSRRefH22_16x_0)</f>
        <v>120</v>
      </c>
      <c r="I97" s="1"/>
      <c r="J97" s="5">
        <f t="shared" ref="J97:J99" si="61">IF(H$12=0,0,H97/H$12)</f>
        <v>3.8922369334362612E-4</v>
      </c>
      <c r="K97" s="1"/>
      <c r="L97" s="1">
        <f t="shared" ref="L97:L99" si="62">+D97-H97</f>
        <v>103.44999999999999</v>
      </c>
      <c r="M97" s="1"/>
      <c r="N97" s="5">
        <f t="shared" ref="N97:N99" si="63">IF(H97=0,0,L97/H97)</f>
        <v>0.8620833333333332</v>
      </c>
      <c r="O97" s="14"/>
      <c r="P97" s="1">
        <f>SUM(OSRRefP22_16x_0)</f>
        <v>1029.92</v>
      </c>
      <c r="Q97" s="1"/>
      <c r="R97" s="5">
        <f t="shared" ref="R97:R99" si="64">IF(P$12=0,0,P97/P$12)</f>
        <v>4.9787456549395812E-4</v>
      </c>
      <c r="S97" s="1"/>
      <c r="T97" s="1">
        <f>SUM(OSRRefT22_16x_0)</f>
        <v>480</v>
      </c>
      <c r="U97" s="1"/>
      <c r="V97" s="5">
        <f t="shared" ref="V97:V99" si="65">IF(T$12=0,0,T97/T$12)</f>
        <v>2.8538761881489224E-4</v>
      </c>
      <c r="W97" s="1"/>
      <c r="X97" s="1">
        <f t="shared" ref="X97:X99" si="66">+P97-T97</f>
        <v>549.92000000000007</v>
      </c>
      <c r="Y97" s="1"/>
      <c r="Z97" s="5">
        <f t="shared" ref="Z97:Z99" si="67">IF(T97=0,0,X97/T97)</f>
        <v>1.1456666666666668</v>
      </c>
    </row>
    <row r="98" spans="1:26" s="24" customFormat="1" hidden="1" outlineLevel="2" x14ac:dyDescent="0.3">
      <c r="A98" s="29"/>
      <c r="B98" s="11" t="str">
        <f>CONCATENATE("          ", "6284", " - ", "TRASH REMOVAL EXPENSE")</f>
        <v xml:space="preserve">          6284 - TRASH REMOVAL EXPENSE</v>
      </c>
      <c r="C98" s="11"/>
      <c r="D98" s="6">
        <v>149.69999999999999</v>
      </c>
      <c r="E98" s="2"/>
      <c r="F98" s="7">
        <f t="shared" si="60"/>
        <v>3.4741306991640456E-4</v>
      </c>
      <c r="G98" s="2"/>
      <c r="H98" s="6">
        <v>120</v>
      </c>
      <c r="I98" s="2"/>
      <c r="J98" s="7">
        <f t="shared" si="61"/>
        <v>3.8922369334362612E-4</v>
      </c>
      <c r="K98" s="2"/>
      <c r="L98" s="6">
        <f t="shared" si="62"/>
        <v>29.699999999999989</v>
      </c>
      <c r="M98" s="2"/>
      <c r="N98" s="7">
        <f t="shared" si="63"/>
        <v>0.24749999999999991</v>
      </c>
      <c r="O98" s="11"/>
      <c r="P98" s="6">
        <v>891.07</v>
      </c>
      <c r="Q98" s="2"/>
      <c r="R98" s="7">
        <f t="shared" si="64"/>
        <v>4.3075296049664176E-4</v>
      </c>
      <c r="S98" s="2"/>
      <c r="T98" s="6">
        <v>480</v>
      </c>
      <c r="U98" s="2"/>
      <c r="V98" s="7">
        <f t="shared" si="65"/>
        <v>2.8538761881489224E-4</v>
      </c>
      <c r="W98" s="2"/>
      <c r="X98" s="6">
        <f t="shared" si="66"/>
        <v>411.07000000000005</v>
      </c>
      <c r="Y98" s="2"/>
      <c r="Z98" s="7">
        <f t="shared" si="67"/>
        <v>0.85639583333333347</v>
      </c>
    </row>
    <row r="99" spans="1:26" s="24" customFormat="1" hidden="1" outlineLevel="2" x14ac:dyDescent="0.3">
      <c r="A99" s="29"/>
      <c r="B99" s="11" t="str">
        <f>CONCATENATE("          ", "6285", " - ", "JANITORIAL SERVICES")</f>
        <v xml:space="preserve">          6285 - JANITORIAL SERVICES</v>
      </c>
      <c r="C99" s="11"/>
      <c r="D99" s="6">
        <v>73.75</v>
      </c>
      <c r="E99" s="2"/>
      <c r="F99" s="7">
        <f t="shared" si="60"/>
        <v>1.7115373350925077E-4</v>
      </c>
      <c r="G99" s="2"/>
      <c r="H99" s="6"/>
      <c r="I99" s="2"/>
      <c r="J99" s="7">
        <f t="shared" si="61"/>
        <v>0</v>
      </c>
      <c r="K99" s="2"/>
      <c r="L99" s="6">
        <f t="shared" si="62"/>
        <v>73.75</v>
      </c>
      <c r="M99" s="2"/>
      <c r="N99" s="7">
        <f t="shared" si="63"/>
        <v>0</v>
      </c>
      <c r="O99" s="11"/>
      <c r="P99" s="6">
        <v>138.85</v>
      </c>
      <c r="Q99" s="2"/>
      <c r="R99" s="7">
        <f t="shared" si="64"/>
        <v>6.7121604997316374E-5</v>
      </c>
      <c r="S99" s="2"/>
      <c r="T99" s="6"/>
      <c r="U99" s="2"/>
      <c r="V99" s="7">
        <f t="shared" si="65"/>
        <v>0</v>
      </c>
      <c r="W99" s="2"/>
      <c r="X99" s="6">
        <f t="shared" si="66"/>
        <v>138.85</v>
      </c>
      <c r="Y99" s="2"/>
      <c r="Z99" s="7">
        <f t="shared" si="67"/>
        <v>0</v>
      </c>
    </row>
    <row r="100" spans="1:26" s="28" customFormat="1" outlineLevel="1" collapsed="1" x14ac:dyDescent="0.3">
      <c r="A100" s="27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1">
        <f>SUM(OSRRefD22_17x_0)</f>
        <v>0</v>
      </c>
      <c r="E100" s="1"/>
      <c r="F100" s="5">
        <f t="shared" ref="F100:F102" si="68">IF(D$12=0,0,D100/D$12)</f>
        <v>0</v>
      </c>
      <c r="G100" s="1"/>
      <c r="H100" s="1">
        <f>SUM(OSRRefH22_17x_0)</f>
        <v>61</v>
      </c>
      <c r="I100" s="1"/>
      <c r="J100" s="5">
        <f t="shared" ref="J100:J102" si="69">IF(H$12=0,0,H100/H$12)</f>
        <v>1.9785537744967661E-4</v>
      </c>
      <c r="K100" s="1"/>
      <c r="L100" s="1">
        <f t="shared" ref="L100:L102" si="70">+D100-H100</f>
        <v>-61</v>
      </c>
      <c r="M100" s="1"/>
      <c r="N100" s="5">
        <f t="shared" ref="N100:N102" si="71">IF(H100=0,0,L100/H100)</f>
        <v>-1</v>
      </c>
      <c r="O100" s="14"/>
      <c r="P100" s="1">
        <f>SUM(OSRRefP22_17x_0)</f>
        <v>0</v>
      </c>
      <c r="Q100" s="1"/>
      <c r="R100" s="5">
        <f t="shared" ref="R100:R102" si="72">IF(P$12=0,0,P100/P$12)</f>
        <v>0</v>
      </c>
      <c r="S100" s="1"/>
      <c r="T100" s="1">
        <f>SUM(OSRRefT22_17x_0)</f>
        <v>1821</v>
      </c>
      <c r="U100" s="1"/>
      <c r="V100" s="5">
        <f t="shared" ref="V100:V102" si="73">IF(T$12=0,0,T100/T$12)</f>
        <v>1.0826892788789973E-3</v>
      </c>
      <c r="W100" s="1"/>
      <c r="X100" s="1">
        <f t="shared" ref="X100:X102" si="74">+P100-T100</f>
        <v>-1821</v>
      </c>
      <c r="Y100" s="1"/>
      <c r="Z100" s="5">
        <f t="shared" ref="Z100:Z102" si="75">IF(T100=0,0,X100/T100)</f>
        <v>-1</v>
      </c>
    </row>
    <row r="101" spans="1:26" s="24" customFormat="1" hidden="1" outlineLevel="2" x14ac:dyDescent="0.3">
      <c r="A101" s="29"/>
      <c r="B101" s="11" t="str">
        <f>CONCATENATE("          ", "6258", " - ", "MEMBERSHIP DUES")</f>
        <v xml:space="preserve">          6258 - MEMBERSHIP DUES</v>
      </c>
      <c r="C101" s="11"/>
      <c r="D101" s="6"/>
      <c r="E101" s="2"/>
      <c r="F101" s="7">
        <f t="shared" si="68"/>
        <v>0</v>
      </c>
      <c r="G101" s="2"/>
      <c r="H101" s="6">
        <v>0</v>
      </c>
      <c r="I101" s="2"/>
      <c r="J101" s="7">
        <f t="shared" si="69"/>
        <v>0</v>
      </c>
      <c r="K101" s="2"/>
      <c r="L101" s="6">
        <f t="shared" si="70"/>
        <v>0</v>
      </c>
      <c r="M101" s="2"/>
      <c r="N101" s="7">
        <f t="shared" si="71"/>
        <v>0</v>
      </c>
      <c r="O101" s="11"/>
      <c r="P101" s="6"/>
      <c r="Q101" s="2"/>
      <c r="R101" s="7">
        <f t="shared" si="72"/>
        <v>0</v>
      </c>
      <c r="S101" s="2"/>
      <c r="T101" s="6">
        <v>1395</v>
      </c>
      <c r="U101" s="2"/>
      <c r="V101" s="7">
        <f t="shared" si="73"/>
        <v>8.294077671807806E-4</v>
      </c>
      <c r="W101" s="2"/>
      <c r="X101" s="6">
        <f t="shared" si="74"/>
        <v>-1395</v>
      </c>
      <c r="Y101" s="2"/>
      <c r="Z101" s="7">
        <f t="shared" si="75"/>
        <v>-1</v>
      </c>
    </row>
    <row r="102" spans="1:26" s="24" customFormat="1" hidden="1" outlineLevel="2" x14ac:dyDescent="0.3">
      <c r="A102" s="29"/>
      <c r="B102" s="11" t="str">
        <f>CONCATENATE("          ", "6275", " - ", "SUBSCRIPTIONS")</f>
        <v xml:space="preserve">          6275 - SUBSCRIPTIONS</v>
      </c>
      <c r="C102" s="11"/>
      <c r="D102" s="6"/>
      <c r="E102" s="2"/>
      <c r="F102" s="7">
        <f t="shared" si="68"/>
        <v>0</v>
      </c>
      <c r="G102" s="2"/>
      <c r="H102" s="6">
        <v>61</v>
      </c>
      <c r="I102" s="2"/>
      <c r="J102" s="7">
        <f t="shared" si="69"/>
        <v>1.9785537744967661E-4</v>
      </c>
      <c r="K102" s="2"/>
      <c r="L102" s="6">
        <f t="shared" si="70"/>
        <v>-61</v>
      </c>
      <c r="M102" s="2"/>
      <c r="N102" s="7">
        <f t="shared" si="71"/>
        <v>-1</v>
      </c>
      <c r="O102" s="11"/>
      <c r="P102" s="6"/>
      <c r="Q102" s="2"/>
      <c r="R102" s="7">
        <f t="shared" si="72"/>
        <v>0</v>
      </c>
      <c r="S102" s="2"/>
      <c r="T102" s="6">
        <v>426</v>
      </c>
      <c r="U102" s="2"/>
      <c r="V102" s="7">
        <f t="shared" si="73"/>
        <v>2.5328151169821684E-4</v>
      </c>
      <c r="W102" s="2"/>
      <c r="X102" s="6">
        <f t="shared" si="74"/>
        <v>-426</v>
      </c>
      <c r="Y102" s="2"/>
      <c r="Z102" s="7">
        <f t="shared" si="75"/>
        <v>-1</v>
      </c>
    </row>
    <row r="103" spans="1:26" s="28" customFormat="1" outlineLevel="1" collapsed="1" x14ac:dyDescent="0.3">
      <c r="A103" s="27"/>
      <c r="B103" s="14" t="str">
        <f>CONCATENATE("     ","Supplies                                          ")</f>
        <v xml:space="preserve">     Supplies                                          </v>
      </c>
      <c r="C103" s="14"/>
      <c r="D103" s="1">
        <f>SUM(OSRRefD22_18x_0)</f>
        <v>951.74</v>
      </c>
      <c r="E103" s="1"/>
      <c r="F103" s="5">
        <f t="shared" ref="F103:F108" si="76">IF(D$12=0,0,D103/D$12)</f>
        <v>2.2087302282046686E-3</v>
      </c>
      <c r="G103" s="1"/>
      <c r="H103" s="1">
        <f>SUM(OSRRefH22_18x_0)</f>
        <v>145</v>
      </c>
      <c r="I103" s="1"/>
      <c r="J103" s="5">
        <f t="shared" ref="J103:J108" si="77">IF(H$12=0,0,H103/H$12)</f>
        <v>4.7031196279021491E-4</v>
      </c>
      <c r="K103" s="1"/>
      <c r="L103" s="1">
        <f t="shared" ref="L103:L108" si="78">+D103-H103</f>
        <v>806.74</v>
      </c>
      <c r="M103" s="1"/>
      <c r="N103" s="5">
        <f t="shared" ref="N103:N108" si="79">IF(H103=0,0,L103/H103)</f>
        <v>5.5637241379310343</v>
      </c>
      <c r="O103" s="14"/>
      <c r="P103" s="1">
        <f>SUM(OSRRefP22_18x_0)</f>
        <v>8586.56</v>
      </c>
      <c r="Q103" s="1"/>
      <c r="R103" s="5">
        <f t="shared" ref="R103:R108" si="80">IF(P$12=0,0,P103/P$12)</f>
        <v>4.1508367922632834E-3</v>
      </c>
      <c r="S103" s="1"/>
      <c r="T103" s="1">
        <f>SUM(OSRRefT22_18x_0)</f>
        <v>710</v>
      </c>
      <c r="U103" s="1"/>
      <c r="V103" s="5">
        <f t="shared" ref="V103:V108" si="81">IF(T$12=0,0,T103/T$12)</f>
        <v>4.2213585283036142E-4</v>
      </c>
      <c r="W103" s="1"/>
      <c r="X103" s="1">
        <f t="shared" ref="X103:X108" si="82">+P103-T103</f>
        <v>7876.5599999999995</v>
      </c>
      <c r="Y103" s="1"/>
      <c r="Z103" s="5">
        <f t="shared" ref="Z103:Z108" si="83">IF(T103=0,0,X103/T103)</f>
        <v>11.093746478873239</v>
      </c>
    </row>
    <row r="104" spans="1:26" s="24" customFormat="1" hidden="1" outlineLevel="2" x14ac:dyDescent="0.3">
      <c r="A104" s="29"/>
      <c r="B104" s="11" t="str">
        <f>CONCATENATE("          ", "6235", " - ", "COVID-19 EXPENSES")</f>
        <v xml:space="preserve">          6235 - COVID-19 EXPENSES</v>
      </c>
      <c r="C104" s="11"/>
      <c r="D104" s="6"/>
      <c r="E104" s="2"/>
      <c r="F104" s="7">
        <f t="shared" si="76"/>
        <v>0</v>
      </c>
      <c r="G104" s="2"/>
      <c r="H104" s="6">
        <v>0</v>
      </c>
      <c r="I104" s="2"/>
      <c r="J104" s="7">
        <f t="shared" si="77"/>
        <v>0</v>
      </c>
      <c r="K104" s="2"/>
      <c r="L104" s="6">
        <f t="shared" si="78"/>
        <v>0</v>
      </c>
      <c r="M104" s="2"/>
      <c r="N104" s="7">
        <f t="shared" si="79"/>
        <v>0</v>
      </c>
      <c r="O104" s="11"/>
      <c r="P104" s="6"/>
      <c r="Q104" s="2"/>
      <c r="R104" s="7">
        <f t="shared" si="80"/>
        <v>0</v>
      </c>
      <c r="S104" s="2"/>
      <c r="T104" s="6">
        <v>0</v>
      </c>
      <c r="U104" s="2"/>
      <c r="V104" s="7">
        <f t="shared" si="81"/>
        <v>0</v>
      </c>
      <c r="W104" s="2"/>
      <c r="X104" s="6">
        <f t="shared" si="82"/>
        <v>0</v>
      </c>
      <c r="Y104" s="2"/>
      <c r="Z104" s="7">
        <f t="shared" si="83"/>
        <v>0</v>
      </c>
    </row>
    <row r="105" spans="1:26" s="24" customFormat="1" hidden="1" outlineLevel="2" x14ac:dyDescent="0.3">
      <c r="A105" s="29"/>
      <c r="B105" s="11" t="str">
        <f>CONCATENATE("          ", "6237", " - ", "JANITORIAL SUPPLIES")</f>
        <v xml:space="preserve">          6237 - JANITORIAL SUPPLIES</v>
      </c>
      <c r="C105" s="11"/>
      <c r="D105" s="6"/>
      <c r="E105" s="2"/>
      <c r="F105" s="7">
        <f t="shared" si="76"/>
        <v>0</v>
      </c>
      <c r="G105" s="2"/>
      <c r="H105" s="6">
        <v>50</v>
      </c>
      <c r="I105" s="2"/>
      <c r="J105" s="7">
        <f t="shared" si="77"/>
        <v>1.6217653889317755E-4</v>
      </c>
      <c r="K105" s="2"/>
      <c r="L105" s="6">
        <f t="shared" si="78"/>
        <v>-50</v>
      </c>
      <c r="M105" s="2"/>
      <c r="N105" s="7">
        <f t="shared" si="79"/>
        <v>-1</v>
      </c>
      <c r="O105" s="11"/>
      <c r="P105" s="6">
        <v>77.17</v>
      </c>
      <c r="Q105" s="2"/>
      <c r="R105" s="7">
        <f t="shared" si="80"/>
        <v>3.7304820004630211E-5</v>
      </c>
      <c r="S105" s="2"/>
      <c r="T105" s="6">
        <v>140</v>
      </c>
      <c r="U105" s="2"/>
      <c r="V105" s="7">
        <f t="shared" si="81"/>
        <v>8.3238055487676904E-5</v>
      </c>
      <c r="W105" s="2"/>
      <c r="X105" s="6">
        <f t="shared" si="82"/>
        <v>-62.83</v>
      </c>
      <c r="Y105" s="2"/>
      <c r="Z105" s="7">
        <f t="shared" si="83"/>
        <v>-0.44878571428571429</v>
      </c>
    </row>
    <row r="106" spans="1:26" s="24" customFormat="1" hidden="1" outlineLevel="2" x14ac:dyDescent="0.3">
      <c r="A106" s="29"/>
      <c r="B106" s="11" t="str">
        <f>CONCATENATE("          ", "6241", " - ", "OFFICE EXPENSE")</f>
        <v xml:space="preserve">          6241 - OFFICE EXPENSE</v>
      </c>
      <c r="C106" s="11"/>
      <c r="D106" s="6">
        <v>485.5</v>
      </c>
      <c r="E106" s="2"/>
      <c r="F106" s="7">
        <f t="shared" si="76"/>
        <v>1.1267137304236102E-3</v>
      </c>
      <c r="G106" s="2"/>
      <c r="H106" s="6">
        <v>45</v>
      </c>
      <c r="I106" s="2"/>
      <c r="J106" s="7">
        <f t="shared" si="77"/>
        <v>1.4595888500385979E-4</v>
      </c>
      <c r="K106" s="2"/>
      <c r="L106" s="6">
        <f t="shared" si="78"/>
        <v>440.5</v>
      </c>
      <c r="M106" s="2"/>
      <c r="N106" s="7">
        <f t="shared" si="79"/>
        <v>9.7888888888888896</v>
      </c>
      <c r="O106" s="11"/>
      <c r="P106" s="6">
        <v>1412.98</v>
      </c>
      <c r="Q106" s="2"/>
      <c r="R106" s="7">
        <f t="shared" si="80"/>
        <v>6.8304994907531934E-4</v>
      </c>
      <c r="S106" s="2"/>
      <c r="T106" s="6">
        <v>270</v>
      </c>
      <c r="U106" s="2"/>
      <c r="V106" s="7">
        <f t="shared" si="81"/>
        <v>1.6053053558337689E-4</v>
      </c>
      <c r="W106" s="2"/>
      <c r="X106" s="6">
        <f t="shared" si="82"/>
        <v>1142.98</v>
      </c>
      <c r="Y106" s="2"/>
      <c r="Z106" s="7">
        <f t="shared" si="83"/>
        <v>4.2332592592592597</v>
      </c>
    </row>
    <row r="107" spans="1:26" s="24" customFormat="1" hidden="1" outlineLevel="2" x14ac:dyDescent="0.3">
      <c r="A107" s="29"/>
      <c r="B107" s="11" t="str">
        <f>CONCATENATE("          ", "6245", " - ", "PRINTING")</f>
        <v xml:space="preserve">          6245 - PRINTING</v>
      </c>
      <c r="C107" s="11"/>
      <c r="D107" s="6">
        <v>24.75</v>
      </c>
      <c r="E107" s="2"/>
      <c r="F107" s="7">
        <f t="shared" si="76"/>
        <v>5.7438032601409576E-5</v>
      </c>
      <c r="G107" s="2"/>
      <c r="H107" s="6"/>
      <c r="I107" s="2"/>
      <c r="J107" s="7">
        <f t="shared" si="77"/>
        <v>0</v>
      </c>
      <c r="K107" s="2"/>
      <c r="L107" s="6">
        <f t="shared" si="78"/>
        <v>24.75</v>
      </c>
      <c r="M107" s="2"/>
      <c r="N107" s="7">
        <f t="shared" si="79"/>
        <v>0</v>
      </c>
      <c r="O107" s="11"/>
      <c r="P107" s="6">
        <v>24.75</v>
      </c>
      <c r="Q107" s="2"/>
      <c r="R107" s="7">
        <f t="shared" si="80"/>
        <v>1.1964420048135256E-5</v>
      </c>
      <c r="S107" s="2"/>
      <c r="T107" s="6"/>
      <c r="U107" s="2"/>
      <c r="V107" s="7">
        <f t="shared" si="81"/>
        <v>0</v>
      </c>
      <c r="W107" s="2"/>
      <c r="X107" s="6">
        <f t="shared" si="82"/>
        <v>24.75</v>
      </c>
      <c r="Y107" s="2"/>
      <c r="Z107" s="7">
        <f t="shared" si="83"/>
        <v>0</v>
      </c>
    </row>
    <row r="108" spans="1:26" s="24" customFormat="1" hidden="1" outlineLevel="2" x14ac:dyDescent="0.3">
      <c r="A108" s="29"/>
      <c r="B108" s="11" t="str">
        <f>CONCATENATE("          ", "6247", " - ", "STORE SUPPLIES")</f>
        <v xml:space="preserve">          6247 - STORE SUPPLIES</v>
      </c>
      <c r="C108" s="11"/>
      <c r="D108" s="6">
        <v>441.49</v>
      </c>
      <c r="E108" s="2"/>
      <c r="F108" s="7">
        <f t="shared" si="76"/>
        <v>1.0245784651796491E-3</v>
      </c>
      <c r="G108" s="2"/>
      <c r="H108" s="6">
        <v>50</v>
      </c>
      <c r="I108" s="2"/>
      <c r="J108" s="7">
        <f t="shared" si="77"/>
        <v>1.6217653889317755E-4</v>
      </c>
      <c r="K108" s="2"/>
      <c r="L108" s="6">
        <f t="shared" si="78"/>
        <v>391.49</v>
      </c>
      <c r="M108" s="2"/>
      <c r="N108" s="7">
        <f t="shared" si="79"/>
        <v>7.8298000000000005</v>
      </c>
      <c r="O108" s="11"/>
      <c r="P108" s="6">
        <v>7071.66</v>
      </c>
      <c r="Q108" s="2"/>
      <c r="R108" s="7">
        <f t="shared" si="80"/>
        <v>3.4185176031351987E-3</v>
      </c>
      <c r="S108" s="2"/>
      <c r="T108" s="6">
        <v>300</v>
      </c>
      <c r="U108" s="2"/>
      <c r="V108" s="7">
        <f t="shared" si="81"/>
        <v>1.7836726175930764E-4</v>
      </c>
      <c r="W108" s="2"/>
      <c r="X108" s="6">
        <f t="shared" si="82"/>
        <v>6771.66</v>
      </c>
      <c r="Y108" s="2"/>
      <c r="Z108" s="7">
        <f t="shared" si="83"/>
        <v>22.572199999999999</v>
      </c>
    </row>
    <row r="109" spans="1:26" s="28" customFormat="1" outlineLevel="1" collapsed="1" x14ac:dyDescent="0.3">
      <c r="A109" s="27"/>
      <c r="B109" s="14" t="str">
        <f>CONCATENATE("     ","Telephone/Data Lines                              ")</f>
        <v xml:space="preserve">     Telephone/Data Lines                              </v>
      </c>
      <c r="C109" s="14"/>
      <c r="D109" s="1">
        <f>SUM(OSRRefD22_19x_0)</f>
        <v>409.69</v>
      </c>
      <c r="E109" s="1"/>
      <c r="F109" s="5">
        <f t="shared" ref="F109:F113" si="84">IF(D$12=0,0,D109/D$12)</f>
        <v>9.507792960190501E-4</v>
      </c>
      <c r="G109" s="1"/>
      <c r="H109" s="1">
        <f>SUM(OSRRefH22_19x_0)</f>
        <v>550</v>
      </c>
      <c r="I109" s="1"/>
      <c r="J109" s="5">
        <f t="shared" ref="J109:J113" si="85">IF(H$12=0,0,H109/H$12)</f>
        <v>1.7839419278249532E-3</v>
      </c>
      <c r="K109" s="1"/>
      <c r="L109" s="1">
        <f t="shared" ref="L109:L113" si="86">+D109-H109</f>
        <v>-140.31</v>
      </c>
      <c r="M109" s="1"/>
      <c r="N109" s="5">
        <f t="shared" ref="N109:N113" si="87">IF(H109=0,0,L109/H109)</f>
        <v>-0.2551090909090909</v>
      </c>
      <c r="O109" s="14"/>
      <c r="P109" s="1">
        <f>SUM(OSRRefP22_19x_0)</f>
        <v>3033.34</v>
      </c>
      <c r="Q109" s="1"/>
      <c r="R109" s="5">
        <f t="shared" ref="R109:R113" si="88">IF(P$12=0,0,P109/P$12)</f>
        <v>1.4663496528812363E-3</v>
      </c>
      <c r="S109" s="1"/>
      <c r="T109" s="1">
        <f>SUM(OSRRefT22_19x_0)</f>
        <v>3300</v>
      </c>
      <c r="U109" s="1"/>
      <c r="V109" s="5">
        <f t="shared" ref="V109:V113" si="89">IF(T$12=0,0,T109/T$12)</f>
        <v>1.9620398793523839E-3</v>
      </c>
      <c r="W109" s="1"/>
      <c r="X109" s="1">
        <f t="shared" ref="X109:X113" si="90">+P109-T109</f>
        <v>-266.65999999999985</v>
      </c>
      <c r="Y109" s="1"/>
      <c r="Z109" s="5">
        <f t="shared" ref="Z109:Z113" si="91">IF(T109=0,0,X109/T109)</f>
        <v>-8.0806060606060562E-2</v>
      </c>
    </row>
    <row r="110" spans="1:26" s="24" customFormat="1" hidden="1" outlineLevel="2" x14ac:dyDescent="0.3">
      <c r="A110" s="29"/>
      <c r="B110" s="11" t="str">
        <f>CONCATENATE("          ", "6309", " - ", "TELEPHONE")</f>
        <v xml:space="preserve">          6309 - TELEPHONE</v>
      </c>
      <c r="C110" s="11"/>
      <c r="D110" s="6">
        <v>409.69</v>
      </c>
      <c r="E110" s="2"/>
      <c r="F110" s="7">
        <f t="shared" si="84"/>
        <v>9.507792960190501E-4</v>
      </c>
      <c r="G110" s="2"/>
      <c r="H110" s="6">
        <v>550</v>
      </c>
      <c r="I110" s="2"/>
      <c r="J110" s="7">
        <f t="shared" si="85"/>
        <v>1.7839419278249532E-3</v>
      </c>
      <c r="K110" s="2"/>
      <c r="L110" s="6">
        <f t="shared" si="86"/>
        <v>-140.31</v>
      </c>
      <c r="M110" s="2"/>
      <c r="N110" s="7">
        <f t="shared" si="87"/>
        <v>-0.2551090909090909</v>
      </c>
      <c r="O110" s="11"/>
      <c r="P110" s="6">
        <v>3033.34</v>
      </c>
      <c r="Q110" s="2"/>
      <c r="R110" s="7">
        <f t="shared" si="88"/>
        <v>1.4663496528812363E-3</v>
      </c>
      <c r="S110" s="2"/>
      <c r="T110" s="6">
        <v>3300</v>
      </c>
      <c r="U110" s="2"/>
      <c r="V110" s="7">
        <f t="shared" si="89"/>
        <v>1.9620398793523839E-3</v>
      </c>
      <c r="W110" s="2"/>
      <c r="X110" s="6">
        <f t="shared" si="90"/>
        <v>-266.65999999999985</v>
      </c>
      <c r="Y110" s="2"/>
      <c r="Z110" s="7">
        <f t="shared" si="91"/>
        <v>-8.0806060606060562E-2</v>
      </c>
    </row>
    <row r="111" spans="1:26" s="28" customFormat="1" outlineLevel="1" collapsed="1" x14ac:dyDescent="0.3">
      <c r="A111" s="27"/>
      <c r="B111" s="14" t="str">
        <f>CONCATENATE("     ","Travel                                            ")</f>
        <v xml:space="preserve">     Travel                                            </v>
      </c>
      <c r="C111" s="14"/>
      <c r="D111" s="1">
        <f>SUM(OSRRefD22_20x_0)</f>
        <v>24.4</v>
      </c>
      <c r="E111" s="1"/>
      <c r="F111" s="5">
        <f t="shared" si="84"/>
        <v>5.6625777594924995E-5</v>
      </c>
      <c r="G111" s="1"/>
      <c r="H111" s="1">
        <f>SUM(OSRRefH22_20x_0)</f>
        <v>225</v>
      </c>
      <c r="I111" s="1"/>
      <c r="J111" s="5">
        <f t="shared" si="85"/>
        <v>7.2979442501929902E-4</v>
      </c>
      <c r="K111" s="1"/>
      <c r="L111" s="1">
        <f t="shared" si="86"/>
        <v>-200.6</v>
      </c>
      <c r="M111" s="1"/>
      <c r="N111" s="5">
        <f t="shared" si="87"/>
        <v>-0.89155555555555555</v>
      </c>
      <c r="O111" s="14"/>
      <c r="P111" s="1">
        <f>SUM(OSRRefP22_20x_0)</f>
        <v>239.93</v>
      </c>
      <c r="Q111" s="1"/>
      <c r="R111" s="5">
        <f t="shared" si="88"/>
        <v>1.1598477988481181E-4</v>
      </c>
      <c r="S111" s="1"/>
      <c r="T111" s="1">
        <f>SUM(OSRRefT22_20x_0)</f>
        <v>550</v>
      </c>
      <c r="U111" s="1"/>
      <c r="V111" s="5">
        <f t="shared" si="89"/>
        <v>3.2700664655873067E-4</v>
      </c>
      <c r="W111" s="1"/>
      <c r="X111" s="1">
        <f t="shared" si="90"/>
        <v>-310.07</v>
      </c>
      <c r="Y111" s="1"/>
      <c r="Z111" s="5">
        <f t="shared" si="91"/>
        <v>-0.56376363636363636</v>
      </c>
    </row>
    <row r="112" spans="1:26" s="24" customFormat="1" hidden="1" outlineLevel="2" x14ac:dyDescent="0.3">
      <c r="A112" s="29"/>
      <c r="B112" s="11" t="str">
        <f>CONCATENATE("          ", "6294", " - ", "TRAVEL OPERATIONAL")</f>
        <v xml:space="preserve">          6294 - TRAVEL OPERATIONAL</v>
      </c>
      <c r="C112" s="11"/>
      <c r="D112" s="6">
        <v>24.4</v>
      </c>
      <c r="E112" s="2"/>
      <c r="F112" s="7">
        <f t="shared" si="84"/>
        <v>5.6625777594924995E-5</v>
      </c>
      <c r="G112" s="2"/>
      <c r="H112" s="6">
        <v>25</v>
      </c>
      <c r="I112" s="2"/>
      <c r="J112" s="7">
        <f t="shared" si="85"/>
        <v>8.1088269446588773E-5</v>
      </c>
      <c r="K112" s="2"/>
      <c r="L112" s="6">
        <f t="shared" si="86"/>
        <v>-0.60000000000000142</v>
      </c>
      <c r="M112" s="2"/>
      <c r="N112" s="7">
        <f t="shared" si="87"/>
        <v>-2.4000000000000056E-2</v>
      </c>
      <c r="O112" s="11"/>
      <c r="P112" s="6">
        <v>239.93</v>
      </c>
      <c r="Q112" s="2"/>
      <c r="R112" s="7">
        <f t="shared" si="88"/>
        <v>1.1598477988481181E-4</v>
      </c>
      <c r="S112" s="2"/>
      <c r="T112" s="6">
        <v>150</v>
      </c>
      <c r="U112" s="2"/>
      <c r="V112" s="7">
        <f t="shared" si="89"/>
        <v>8.9183630879653819E-5</v>
      </c>
      <c r="W112" s="2"/>
      <c r="X112" s="6">
        <f t="shared" si="90"/>
        <v>89.93</v>
      </c>
      <c r="Y112" s="2"/>
      <c r="Z112" s="7">
        <f t="shared" si="91"/>
        <v>0.59953333333333336</v>
      </c>
    </row>
    <row r="113" spans="1:26" s="24" customFormat="1" hidden="1" outlineLevel="2" x14ac:dyDescent="0.3">
      <c r="A113" s="29"/>
      <c r="B113" s="11" t="str">
        <f>CONCATENATE("          ", "6298", " - ", "VEHICLE MILEAGE")</f>
        <v xml:space="preserve">          6298 - VEHICLE MILEAGE</v>
      </c>
      <c r="C113" s="11"/>
      <c r="D113" s="6"/>
      <c r="E113" s="2"/>
      <c r="F113" s="7">
        <f t="shared" si="84"/>
        <v>0</v>
      </c>
      <c r="G113" s="2"/>
      <c r="H113" s="6">
        <v>200</v>
      </c>
      <c r="I113" s="2"/>
      <c r="J113" s="7">
        <f t="shared" si="85"/>
        <v>6.4870615557271018E-4</v>
      </c>
      <c r="K113" s="2"/>
      <c r="L113" s="6">
        <f t="shared" si="86"/>
        <v>-200</v>
      </c>
      <c r="M113" s="2"/>
      <c r="N113" s="7">
        <f t="shared" si="87"/>
        <v>-1</v>
      </c>
      <c r="O113" s="11"/>
      <c r="P113" s="6"/>
      <c r="Q113" s="2"/>
      <c r="R113" s="7">
        <f t="shared" si="88"/>
        <v>0</v>
      </c>
      <c r="S113" s="2"/>
      <c r="T113" s="6">
        <v>400</v>
      </c>
      <c r="U113" s="2"/>
      <c r="V113" s="7">
        <f t="shared" si="89"/>
        <v>2.3782301567907687E-4</v>
      </c>
      <c r="W113" s="2"/>
      <c r="X113" s="6">
        <f t="shared" si="90"/>
        <v>-400</v>
      </c>
      <c r="Y113" s="2"/>
      <c r="Z113" s="7">
        <f t="shared" si="91"/>
        <v>-1</v>
      </c>
    </row>
    <row r="114" spans="1:26" s="28" customFormat="1" outlineLevel="1" collapsed="1" x14ac:dyDescent="0.3">
      <c r="A114" s="27"/>
      <c r="B114" s="14" t="str">
        <f>CONCATENATE("     ","Utilities                                         ")</f>
        <v xml:space="preserve">     Utilities                                         </v>
      </c>
      <c r="C114" s="14"/>
      <c r="D114" s="1">
        <f>SUM(OSRRefD22_21x_0)</f>
        <v>62.92</v>
      </c>
      <c r="E114" s="1"/>
      <c r="F114" s="5">
        <f t="shared" ref="F114:F115" si="92">IF(D$12=0,0,D114/D$12)</f>
        <v>1.460202428800279E-4</v>
      </c>
      <c r="G114" s="1"/>
      <c r="H114" s="1">
        <f>SUM(OSRRefH22_21x_0)</f>
        <v>120</v>
      </c>
      <c r="I114" s="1"/>
      <c r="J114" s="5">
        <f t="shared" ref="J114:J115" si="93">IF(H$12=0,0,H114/H$12)</f>
        <v>3.8922369334362612E-4</v>
      </c>
      <c r="K114" s="1"/>
      <c r="L114" s="1">
        <f t="shared" ref="L114:L115" si="94">+D114-H114</f>
        <v>-57.08</v>
      </c>
      <c r="M114" s="1"/>
      <c r="N114" s="5">
        <f t="shared" ref="N114:N115" si="95">IF(H114=0,0,L114/H114)</f>
        <v>-0.47566666666666663</v>
      </c>
      <c r="O114" s="14"/>
      <c r="P114" s="1">
        <f>SUM(OSRRefP22_21x_0)</f>
        <v>246.51</v>
      </c>
      <c r="Q114" s="1"/>
      <c r="R114" s="5">
        <f t="shared" ref="R114:R115" si="96">IF(P$12=0,0,P114/P$12)</f>
        <v>1.1916562367942714E-4</v>
      </c>
      <c r="S114" s="1"/>
      <c r="T114" s="1">
        <f>SUM(OSRRefT22_21x_0)</f>
        <v>720</v>
      </c>
      <c r="U114" s="1"/>
      <c r="V114" s="5">
        <f t="shared" ref="V114:V115" si="97">IF(T$12=0,0,T114/T$12)</f>
        <v>4.2808142822233836E-4</v>
      </c>
      <c r="W114" s="1"/>
      <c r="X114" s="1">
        <f t="shared" ref="X114:X115" si="98">+P114-T114</f>
        <v>-473.49</v>
      </c>
      <c r="Y114" s="1"/>
      <c r="Z114" s="5">
        <f t="shared" ref="Z114:Z115" si="99">IF(T114=0,0,X114/T114)</f>
        <v>-0.65762500000000002</v>
      </c>
    </row>
    <row r="115" spans="1:26" s="24" customFormat="1" hidden="1" outlineLevel="2" x14ac:dyDescent="0.3">
      <c r="A115" s="29"/>
      <c r="B115" s="11" t="str">
        <f>CONCATENATE("          ", "6274", " - ", "UTILITIES")</f>
        <v xml:space="preserve">          6274 - UTILITIES</v>
      </c>
      <c r="C115" s="11"/>
      <c r="D115" s="6">
        <v>62.92</v>
      </c>
      <c r="E115" s="2"/>
      <c r="F115" s="7">
        <f t="shared" si="92"/>
        <v>1.460202428800279E-4</v>
      </c>
      <c r="G115" s="2"/>
      <c r="H115" s="6">
        <v>120</v>
      </c>
      <c r="I115" s="2"/>
      <c r="J115" s="7">
        <f t="shared" si="93"/>
        <v>3.8922369334362612E-4</v>
      </c>
      <c r="K115" s="2"/>
      <c r="L115" s="6">
        <f t="shared" si="94"/>
        <v>-57.08</v>
      </c>
      <c r="M115" s="2"/>
      <c r="N115" s="7">
        <f t="shared" si="95"/>
        <v>-0.47566666666666663</v>
      </c>
      <c r="O115" s="11"/>
      <c r="P115" s="6">
        <v>246.51</v>
      </c>
      <c r="Q115" s="2"/>
      <c r="R115" s="7">
        <f t="shared" si="96"/>
        <v>1.1916562367942714E-4</v>
      </c>
      <c r="S115" s="2"/>
      <c r="T115" s="6">
        <v>720</v>
      </c>
      <c r="U115" s="2"/>
      <c r="V115" s="7">
        <f t="shared" si="97"/>
        <v>4.2808142822233836E-4</v>
      </c>
      <c r="W115" s="2"/>
      <c r="X115" s="6">
        <f t="shared" si="98"/>
        <v>-473.49</v>
      </c>
      <c r="Y115" s="2"/>
      <c r="Z115" s="7">
        <f t="shared" si="99"/>
        <v>-0.65762500000000002</v>
      </c>
    </row>
    <row r="116" spans="1:26" s="55" customFormat="1" x14ac:dyDescent="0.3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3">
      <c r="A117" s="10"/>
      <c r="B117" s="25" t="s">
        <v>293</v>
      </c>
      <c r="C117" s="10"/>
      <c r="D117" s="4">
        <f>SUM(OSRRefD25x_0)</f>
        <v>290</v>
      </c>
      <c r="E117" s="4"/>
      <c r="F117" s="12">
        <f t="shared" ref="F117:F120" si="100">IF(D$12=0,0,D117/D$12)</f>
        <v>6.7301129108722328E-4</v>
      </c>
      <c r="G117" s="4"/>
      <c r="H117" s="4">
        <f>SUM(OSRRefH25x_0)</f>
        <v>58333</v>
      </c>
      <c r="I117" s="4"/>
      <c r="J117" s="12">
        <f t="shared" ref="J117:J120" si="101">IF(H$12=0,0,H117/H$12)</f>
        <v>0.18920488086511453</v>
      </c>
      <c r="K117" s="4"/>
      <c r="L117" s="4">
        <f t="shared" ref="L117:L120" si="102">+D117-H117</f>
        <v>-58043</v>
      </c>
      <c r="M117" s="4"/>
      <c r="N117" s="12">
        <f t="shared" ref="N117:N120" si="103">IF(H117=0,0,L117/H117)</f>
        <v>-0.99502854302024579</v>
      </c>
      <c r="O117" s="10"/>
      <c r="P117" s="4">
        <f>SUM(OSRRefP25x_0)</f>
        <v>119353.12</v>
      </c>
      <c r="Q117" s="4"/>
      <c r="R117" s="12">
        <f t="shared" ref="R117:R120" si="104">IF(P$12=0,0,P117/P$12)</f>
        <v>5.7696600474161329E-2</v>
      </c>
      <c r="S117" s="4"/>
      <c r="T117" s="4">
        <f>SUM(OSRRefT25x_0)</f>
        <v>90657</v>
      </c>
      <c r="U117" s="4"/>
      <c r="V117" s="12">
        <f t="shared" ref="V117:V120" si="105">IF(T$12=0,0,T117/T$12)</f>
        <v>5.3900802831045182E-2</v>
      </c>
      <c r="W117" s="4"/>
      <c r="X117" s="4">
        <f t="shared" ref="X117:X120" si="106">+P117-T117</f>
        <v>28696.119999999995</v>
      </c>
      <c r="Y117" s="4"/>
      <c r="Z117" s="12">
        <f t="shared" ref="Z117:Z120" si="107">IF(T117=0,0,X117/T117)</f>
        <v>0.31653507175397372</v>
      </c>
    </row>
    <row r="118" spans="1:26" s="24" customFormat="1" hidden="1" outlineLevel="1" x14ac:dyDescent="0.3">
      <c r="A118" s="44"/>
      <c r="B118" s="11" t="str">
        <f>CONCATENATE("          ", "9150", " - ", "MISC. INCOME")</f>
        <v xml:space="preserve">          9150 - MISC. INCOME</v>
      </c>
      <c r="C118" s="11"/>
      <c r="D118" s="2">
        <f>--290</f>
        <v>290</v>
      </c>
      <c r="E118" s="2"/>
      <c r="F118" s="19">
        <f t="shared" si="100"/>
        <v>6.7301129108722328E-4</v>
      </c>
      <c r="G118" s="2"/>
      <c r="H118" s="2">
        <v>0</v>
      </c>
      <c r="I118" s="2"/>
      <c r="J118" s="19">
        <f t="shared" si="101"/>
        <v>0</v>
      </c>
      <c r="K118" s="2"/>
      <c r="L118" s="2">
        <f t="shared" si="102"/>
        <v>290</v>
      </c>
      <c r="M118" s="2"/>
      <c r="N118" s="19">
        <f t="shared" si="103"/>
        <v>0</v>
      </c>
      <c r="O118" s="11"/>
      <c r="P118" s="2">
        <f>--46604.92</f>
        <v>46604.92</v>
      </c>
      <c r="Q118" s="2"/>
      <c r="R118" s="19">
        <f t="shared" si="104"/>
        <v>2.252932683594908E-2</v>
      </c>
      <c r="S118" s="2"/>
      <c r="T118" s="2">
        <v>32324</v>
      </c>
      <c r="U118" s="2"/>
      <c r="V118" s="19">
        <f t="shared" si="105"/>
        <v>1.9218477897026201E-2</v>
      </c>
      <c r="W118" s="2"/>
      <c r="X118" s="2">
        <f t="shared" si="106"/>
        <v>14280.919999999998</v>
      </c>
      <c r="Y118" s="2"/>
      <c r="Z118" s="19">
        <f t="shared" si="107"/>
        <v>0.44180546962009648</v>
      </c>
    </row>
    <row r="119" spans="1:26" s="24" customFormat="1" hidden="1" outlineLevel="1" x14ac:dyDescent="0.3">
      <c r="A119" s="44"/>
      <c r="B119" s="11" t="str">
        <f>CONCATENATE("          ", "9160", " - ", "MISC. INCOME")</f>
        <v xml:space="preserve">          9160 - MISC. INCOME</v>
      </c>
      <c r="C119" s="11"/>
      <c r="D119" s="2">
        <f t="shared" ref="D119:D120" si="108">0</f>
        <v>0</v>
      </c>
      <c r="E119" s="2"/>
      <c r="F119" s="19">
        <f t="shared" si="100"/>
        <v>0</v>
      </c>
      <c r="G119" s="2"/>
      <c r="H119" s="2">
        <v>58333</v>
      </c>
      <c r="I119" s="2"/>
      <c r="J119" s="19">
        <f t="shared" si="101"/>
        <v>0.18920488086511453</v>
      </c>
      <c r="K119" s="2"/>
      <c r="L119" s="2">
        <f t="shared" si="102"/>
        <v>-58333</v>
      </c>
      <c r="M119" s="2"/>
      <c r="N119" s="19">
        <f t="shared" si="103"/>
        <v>-1</v>
      </c>
      <c r="O119" s="11"/>
      <c r="P119" s="2">
        <f>0</f>
        <v>0</v>
      </c>
      <c r="Q119" s="2"/>
      <c r="R119" s="19">
        <f t="shared" si="104"/>
        <v>0</v>
      </c>
      <c r="S119" s="2"/>
      <c r="T119" s="2">
        <v>58333</v>
      </c>
      <c r="U119" s="2"/>
      <c r="V119" s="19">
        <f t="shared" si="105"/>
        <v>3.4682324934018974E-2</v>
      </c>
      <c r="W119" s="2"/>
      <c r="X119" s="2">
        <f t="shared" si="106"/>
        <v>-58333</v>
      </c>
      <c r="Y119" s="2"/>
      <c r="Z119" s="19">
        <f t="shared" si="107"/>
        <v>-1</v>
      </c>
    </row>
    <row r="120" spans="1:26" s="24" customFormat="1" hidden="1" outlineLevel="1" x14ac:dyDescent="0.3">
      <c r="A120" s="44"/>
      <c r="B120" s="11" t="str">
        <f>CONCATENATE("          ", "9163", " - ", "MISC. INCOME")</f>
        <v xml:space="preserve">          9163 - MISC. INCOME</v>
      </c>
      <c r="C120" s="11"/>
      <c r="D120" s="2">
        <f t="shared" si="108"/>
        <v>0</v>
      </c>
      <c r="E120" s="2"/>
      <c r="F120" s="19">
        <f t="shared" si="100"/>
        <v>0</v>
      </c>
      <c r="G120" s="2"/>
      <c r="H120" s="2"/>
      <c r="I120" s="2"/>
      <c r="J120" s="19">
        <f t="shared" si="101"/>
        <v>0</v>
      </c>
      <c r="K120" s="2"/>
      <c r="L120" s="2">
        <f t="shared" si="102"/>
        <v>0</v>
      </c>
      <c r="M120" s="2"/>
      <c r="N120" s="19">
        <f t="shared" si="103"/>
        <v>0</v>
      </c>
      <c r="O120" s="11"/>
      <c r="P120" s="2">
        <f>--72748.2</f>
        <v>72748.2</v>
      </c>
      <c r="Q120" s="2"/>
      <c r="R120" s="19">
        <f t="shared" si="104"/>
        <v>3.5167273638212253E-2</v>
      </c>
      <c r="S120" s="2"/>
      <c r="T120" s="2"/>
      <c r="U120" s="2"/>
      <c r="V120" s="19">
        <f t="shared" si="105"/>
        <v>0</v>
      </c>
      <c r="W120" s="2"/>
      <c r="X120" s="2">
        <f t="shared" si="106"/>
        <v>72748.2</v>
      </c>
      <c r="Y120" s="2"/>
      <c r="Z120" s="19">
        <f t="shared" si="107"/>
        <v>0</v>
      </c>
    </row>
    <row r="121" spans="1:26" x14ac:dyDescent="0.3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3">
      <c r="A122" s="10"/>
      <c r="B122" s="26" t="s">
        <v>277</v>
      </c>
      <c r="C122" s="26"/>
      <c r="D122" s="20">
        <f>+D40-D42+D117</f>
        <v>130239.74</v>
      </c>
      <c r="E122" s="13"/>
      <c r="F122" s="22">
        <f>IF(D$12=0,0,D122/D$12)</f>
        <v>0.30225108816642859</v>
      </c>
      <c r="G122" s="13"/>
      <c r="H122" s="20">
        <f>+H40-H42+H117</f>
        <v>112008.01804230767</v>
      </c>
      <c r="I122" s="13"/>
      <c r="J122" s="22">
        <f>IF(H$12=0,0,H122/H$12)</f>
        <v>0.36330145388772084</v>
      </c>
      <c r="K122" s="16"/>
      <c r="L122" s="20">
        <f>+D122-H122</f>
        <v>18231.721957692338</v>
      </c>
      <c r="M122" s="16"/>
      <c r="N122" s="22">
        <f>IF(H122=0,0,L122/H122)</f>
        <v>0.16277157900254829</v>
      </c>
      <c r="O122" s="25"/>
      <c r="P122" s="20">
        <f>+P40-P42+P117</f>
        <v>615262.99999999965</v>
      </c>
      <c r="Q122" s="13"/>
      <c r="R122" s="22">
        <f>IF(P$12=0,0,P122/P$12)</f>
        <v>0.29742484735659952</v>
      </c>
      <c r="S122" s="13"/>
      <c r="T122" s="20">
        <f>+T40-T42+T117</f>
        <v>268277.0162675</v>
      </c>
      <c r="U122" s="13"/>
      <c r="V122" s="22">
        <f>IF(T$12=0,0,T122/T$12)</f>
        <v>0.15950612261530403</v>
      </c>
      <c r="W122" s="16"/>
      <c r="X122" s="20">
        <f>+P122-T122</f>
        <v>346985.98373249965</v>
      </c>
      <c r="Y122" s="16"/>
      <c r="Z122" s="22">
        <f>IF(T122=0,0,X122/T122)</f>
        <v>1.2933869198340817</v>
      </c>
    </row>
    <row r="123" spans="1:26" x14ac:dyDescent="0.3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3">
      <c r="A124" s="52"/>
      <c r="B124" s="10" t="s">
        <v>128</v>
      </c>
      <c r="C124" s="10"/>
      <c r="D124" s="4">
        <v>53929.69</v>
      </c>
      <c r="E124" s="4"/>
      <c r="F124" s="12">
        <f>IF(D$12=0,0,D124/D$12)</f>
        <v>0.12515617343046109</v>
      </c>
      <c r="G124" s="4"/>
      <c r="H124" s="4">
        <v>46041</v>
      </c>
      <c r="I124" s="4"/>
      <c r="J124" s="12">
        <f>IF(H$12=0,0,H124/H$12)</f>
        <v>0.14933540054361577</v>
      </c>
      <c r="K124" s="4"/>
      <c r="L124" s="4">
        <f>+D124-H124</f>
        <v>7888.6900000000023</v>
      </c>
      <c r="M124" s="4"/>
      <c r="N124" s="12">
        <f>IF(H124=0,0,L124/H124)</f>
        <v>0.17134054429747403</v>
      </c>
      <c r="O124" s="10"/>
      <c r="P124" s="4">
        <v>249003.07</v>
      </c>
      <c r="Q124" s="4"/>
      <c r="R124" s="12">
        <f>IF(P$12=0,0,P124/P$12)</f>
        <v>0.1203708009194031</v>
      </c>
      <c r="S124" s="4"/>
      <c r="T124" s="4">
        <v>217761</v>
      </c>
      <c r="U124" s="4"/>
      <c r="V124" s="12">
        <f>IF(T$12=0,0,T124/T$12)</f>
        <v>0.12947144429322865</v>
      </c>
      <c r="W124" s="4"/>
      <c r="X124" s="4">
        <f>+P124-T124</f>
        <v>31242.070000000007</v>
      </c>
      <c r="Y124" s="4"/>
      <c r="Z124" s="12">
        <f>IF(T124=0,0,X124/T124)</f>
        <v>0.14346953770418031</v>
      </c>
    </row>
    <row r="125" spans="1:26" x14ac:dyDescent="0.3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" thickBot="1" x14ac:dyDescent="0.35">
      <c r="A126" s="10"/>
      <c r="B126" s="26" t="s">
        <v>126</v>
      </c>
      <c r="C126" s="26"/>
      <c r="D126" s="31">
        <f>+D122-D124</f>
        <v>76310.05</v>
      </c>
      <c r="E126" s="13"/>
      <c r="F126" s="30">
        <f>IF(D$12=0,0,D126/D$12)</f>
        <v>0.17709491473596747</v>
      </c>
      <c r="G126" s="13"/>
      <c r="H126" s="31">
        <f>+H122-H124</f>
        <v>65967.018042307667</v>
      </c>
      <c r="I126" s="13"/>
      <c r="J126" s="30">
        <f>IF(H$12=0,0,H126/H$12)</f>
        <v>0.21396605334410509</v>
      </c>
      <c r="K126" s="16"/>
      <c r="L126" s="31">
        <f>D126-H126</f>
        <v>10343.031957692336</v>
      </c>
      <c r="M126" s="16"/>
      <c r="N126" s="30">
        <f>IF(H126=0,0,L126/H126)</f>
        <v>0.15679095803692197</v>
      </c>
      <c r="O126" s="25"/>
      <c r="P126" s="31">
        <f>+P122-P124</f>
        <v>366259.92999999964</v>
      </c>
      <c r="Q126" s="13"/>
      <c r="R126" s="30">
        <f>IF(P$12=0,0,P126/P$12)</f>
        <v>0.17705404643719641</v>
      </c>
      <c r="S126" s="13"/>
      <c r="T126" s="31">
        <f>+T122-T124</f>
        <v>50516.016267500003</v>
      </c>
      <c r="U126" s="13"/>
      <c r="V126" s="30">
        <f>IF(T$12=0,0,T126/T$12)</f>
        <v>3.0034678322075389E-2</v>
      </c>
      <c r="W126" s="16"/>
      <c r="X126" s="31">
        <f>P126-T126</f>
        <v>315743.91373249964</v>
      </c>
      <c r="Y126" s="16"/>
      <c r="Z126" s="30">
        <f>IF(T126=0,0,X126/T126)</f>
        <v>6.2503723979445454</v>
      </c>
    </row>
    <row r="127" spans="1:26" ht="15" thickTop="1" x14ac:dyDescent="0.3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3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" thickBot="1" x14ac:dyDescent="0.35">
      <c r="A129" s="10"/>
      <c r="B129" s="26" t="s">
        <v>294</v>
      </c>
      <c r="C129" s="26"/>
      <c r="D129" s="35">
        <f>SUM(D126:D128)</f>
        <v>76310.05</v>
      </c>
      <c r="E129" s="13"/>
      <c r="F129" s="34">
        <f>IF(D$12=0,0,D129/D$12)</f>
        <v>0.17709491473596747</v>
      </c>
      <c r="G129" s="13"/>
      <c r="H129" s="35">
        <f>SUM(H126:H128)</f>
        <v>65967.018042307667</v>
      </c>
      <c r="I129" s="13"/>
      <c r="J129" s="34">
        <f>IF(H$12=0,0,H129/H$12)</f>
        <v>0.21396605334410509</v>
      </c>
      <c r="K129" s="16"/>
      <c r="L129" s="35">
        <f>+D129-H129</f>
        <v>10343.031957692336</v>
      </c>
      <c r="M129" s="16"/>
      <c r="N129" s="34">
        <f>IF(H129=0,0,L129/H129)</f>
        <v>0.15679095803692197</v>
      </c>
      <c r="O129" s="25"/>
      <c r="P129" s="35">
        <f>SUM(P126:P128)</f>
        <v>366259.92999999964</v>
      </c>
      <c r="Q129" s="13"/>
      <c r="R129" s="34">
        <f>IF(P$12=0,0,P129/P$12)</f>
        <v>0.17705404643719641</v>
      </c>
      <c r="S129" s="13"/>
      <c r="T129" s="35">
        <f>SUM(T126:T128)</f>
        <v>50516.016267500003</v>
      </c>
      <c r="U129" s="13"/>
      <c r="V129" s="34">
        <f>IF(T$12=0,0,T129/T$12)</f>
        <v>3.0034678322075389E-2</v>
      </c>
      <c r="W129" s="16"/>
      <c r="X129" s="35">
        <f>+P129-T129</f>
        <v>315743.91373249964</v>
      </c>
      <c r="Y129" s="16"/>
      <c r="Z129" s="34">
        <f>IF(T129=0,0,X129/T129)</f>
        <v>6.2503723979445454</v>
      </c>
    </row>
    <row r="130" spans="1:26" ht="15" thickTop="1" x14ac:dyDescent="0.3">
      <c r="A130" s="9"/>
      <c r="C130" s="9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6" x14ac:dyDescent="0.3">
      <c r="A131" s="9"/>
      <c r="B131" s="61">
        <v>44575.84211153935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3">
      <c r="A132" s="9"/>
      <c r="B132" s="62" t="s">
        <v>56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3">
      <c r="A133" s="9"/>
      <c r="B133" s="53"/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3"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","315", " - ", "Bookstore Retail")</f>
        <v>Department 315 - Bookstore Retail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373398.06000000006</v>
      </c>
      <c r="E12" s="4"/>
      <c r="F12" s="12"/>
      <c r="G12" s="4"/>
      <c r="H12" s="4">
        <f>SUM(OSRRefH13x_0)</f>
        <v>263832</v>
      </c>
      <c r="I12" s="4"/>
      <c r="J12" s="12"/>
      <c r="K12" s="4"/>
      <c r="L12" s="4">
        <f t="shared" ref="L12:L17" si="0">+D12-H12</f>
        <v>109566.06000000006</v>
      </c>
      <c r="M12" s="4"/>
      <c r="N12" s="12">
        <f t="shared" ref="N12:N17" si="1">IF(H12=0,0,L12/H12)</f>
        <v>0.4152872282361505</v>
      </c>
      <c r="O12" s="10"/>
      <c r="P12" s="4">
        <f>SUM(OSRRefP13x_0)</f>
        <v>1863918.91</v>
      </c>
      <c r="Q12" s="4"/>
      <c r="R12" s="12"/>
      <c r="S12" s="4"/>
      <c r="T12" s="4">
        <f>SUM(OSRRefT13x_0)</f>
        <v>1513404</v>
      </c>
      <c r="U12" s="4"/>
      <c r="V12" s="12"/>
      <c r="W12" s="4"/>
      <c r="X12" s="4">
        <f t="shared" ref="X12:X17" si="2">+P12-T12</f>
        <v>350514.90999999992</v>
      </c>
      <c r="Y12" s="4"/>
      <c r="Z12" s="12">
        <f t="shared" ref="Z12:Z17" si="3">IF(T12=0,0,X12/T12)</f>
        <v>0.23160696681124135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--386085.06</f>
        <v>386085.06</v>
      </c>
      <c r="E13" s="2"/>
      <c r="F13" s="19"/>
      <c r="G13" s="2"/>
      <c r="H13" s="2">
        <v>263832</v>
      </c>
      <c r="I13" s="2"/>
      <c r="J13" s="19"/>
      <c r="K13" s="2"/>
      <c r="L13" s="2">
        <f t="shared" si="0"/>
        <v>122253.06</v>
      </c>
      <c r="M13" s="2"/>
      <c r="N13" s="19">
        <f t="shared" si="1"/>
        <v>0.46337464750295643</v>
      </c>
      <c r="O13" s="11"/>
      <c r="P13" s="2">
        <f>--1743476.49</f>
        <v>1743476.49</v>
      </c>
      <c r="Q13" s="2"/>
      <c r="R13" s="19"/>
      <c r="S13" s="2"/>
      <c r="T13" s="2">
        <v>1513404</v>
      </c>
      <c r="U13" s="2"/>
      <c r="V13" s="19"/>
      <c r="W13" s="2"/>
      <c r="X13" s="2">
        <f t="shared" si="2"/>
        <v>230072.49</v>
      </c>
      <c r="Y13" s="2"/>
      <c r="Z13" s="19">
        <f t="shared" si="3"/>
        <v>0.15202318085587191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--43630.31</f>
        <v>43630.31</v>
      </c>
      <c r="E14" s="2"/>
      <c r="F14" s="19"/>
      <c r="G14" s="2"/>
      <c r="H14" s="2"/>
      <c r="I14" s="2"/>
      <c r="J14" s="19"/>
      <c r="K14" s="2"/>
      <c r="L14" s="2">
        <f t="shared" si="0"/>
        <v>43630.31</v>
      </c>
      <c r="M14" s="2"/>
      <c r="N14" s="19">
        <f t="shared" si="1"/>
        <v>0</v>
      </c>
      <c r="O14" s="11"/>
      <c r="P14" s="2">
        <f>--228030.8</f>
        <v>228030.8</v>
      </c>
      <c r="Q14" s="2"/>
      <c r="R14" s="19"/>
      <c r="S14" s="2"/>
      <c r="T14" s="2"/>
      <c r="U14" s="2"/>
      <c r="V14" s="19"/>
      <c r="W14" s="2"/>
      <c r="X14" s="2">
        <f t="shared" si="2"/>
        <v>228030.8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-12312.36</f>
        <v>-12312.36</v>
      </c>
      <c r="E15" s="2"/>
      <c r="F15" s="19"/>
      <c r="G15" s="2"/>
      <c r="H15" s="2"/>
      <c r="I15" s="2"/>
      <c r="J15" s="19"/>
      <c r="K15" s="2"/>
      <c r="L15" s="2">
        <f t="shared" si="0"/>
        <v>-12312.36</v>
      </c>
      <c r="M15" s="2"/>
      <c r="N15" s="19">
        <f t="shared" si="1"/>
        <v>0</v>
      </c>
      <c r="O15" s="11"/>
      <c r="P15" s="2">
        <f>-49816.82</f>
        <v>-49816.82</v>
      </c>
      <c r="Q15" s="2"/>
      <c r="R15" s="19"/>
      <c r="S15" s="2"/>
      <c r="T15" s="2"/>
      <c r="U15" s="2"/>
      <c r="V15" s="19"/>
      <c r="W15" s="2"/>
      <c r="X15" s="2">
        <f t="shared" si="2"/>
        <v>-49816.82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-168.79</f>
        <v>-168.79</v>
      </c>
      <c r="E16" s="2"/>
      <c r="F16" s="19"/>
      <c r="G16" s="2"/>
      <c r="H16" s="2"/>
      <c r="I16" s="2"/>
      <c r="J16" s="19"/>
      <c r="K16" s="2"/>
      <c r="L16" s="2">
        <f t="shared" si="0"/>
        <v>-168.79</v>
      </c>
      <c r="M16" s="2"/>
      <c r="N16" s="19">
        <f t="shared" si="1"/>
        <v>0</v>
      </c>
      <c r="O16" s="11"/>
      <c r="P16" s="2">
        <f>-1276.2</f>
        <v>-1276.2</v>
      </c>
      <c r="Q16" s="2"/>
      <c r="R16" s="19"/>
      <c r="S16" s="2"/>
      <c r="T16" s="2"/>
      <c r="U16" s="2"/>
      <c r="V16" s="19"/>
      <c r="W16" s="2"/>
      <c r="X16" s="2">
        <f t="shared" si="2"/>
        <v>-1276.2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-43836.16</f>
        <v>-43836.160000000003</v>
      </c>
      <c r="E17" s="2"/>
      <c r="F17" s="19"/>
      <c r="G17" s="2"/>
      <c r="H17" s="2"/>
      <c r="I17" s="2"/>
      <c r="J17" s="19"/>
      <c r="K17" s="2"/>
      <c r="L17" s="2">
        <f t="shared" si="0"/>
        <v>-43836.160000000003</v>
      </c>
      <c r="M17" s="2"/>
      <c r="N17" s="19">
        <f t="shared" si="1"/>
        <v>0</v>
      </c>
      <c r="O17" s="11"/>
      <c r="P17" s="2">
        <f>-56495.36</f>
        <v>-56495.360000000001</v>
      </c>
      <c r="Q17" s="2"/>
      <c r="R17" s="19"/>
      <c r="S17" s="2"/>
      <c r="T17" s="2"/>
      <c r="U17" s="2"/>
      <c r="V17" s="19"/>
      <c r="W17" s="2"/>
      <c r="X17" s="2">
        <f t="shared" si="2"/>
        <v>-56495.360000000001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185783.58</v>
      </c>
      <c r="E19" s="4"/>
      <c r="F19" s="12">
        <f t="shared" ref="F19:F38" si="4">IF(D$12=0,0,D19/D$12)</f>
        <v>0.49754832684454753</v>
      </c>
      <c r="G19" s="4"/>
      <c r="H19" s="4">
        <f>SUM(OSRRefH16x_0)</f>
        <v>133246</v>
      </c>
      <c r="I19" s="4"/>
      <c r="J19" s="12">
        <f t="shared" ref="J19:J38" si="5">IF(H$12=0,0,H19/H$12)</f>
        <v>0.50504108675217563</v>
      </c>
      <c r="K19" s="4"/>
      <c r="L19" s="4">
        <f t="shared" ref="L19:L38" si="6">+D19-H19</f>
        <v>52537.579999999987</v>
      </c>
      <c r="M19" s="4"/>
      <c r="N19" s="12">
        <f t="shared" ref="N19:N38" si="7">IF(H19=0,0,L19/H19)</f>
        <v>0.39429011002206438</v>
      </c>
      <c r="O19" s="10"/>
      <c r="P19" s="4">
        <f>SUM(OSRRefP16x_0)</f>
        <v>920687.18</v>
      </c>
      <c r="Q19" s="4"/>
      <c r="R19" s="12">
        <f t="shared" ref="R19:R38" si="8">IF(P$12=0,0,P19/P$12)</f>
        <v>0.49395237907640527</v>
      </c>
      <c r="S19" s="4"/>
      <c r="T19" s="4">
        <f>SUM(OSRRefT16x_0)</f>
        <v>792211</v>
      </c>
      <c r="U19" s="4"/>
      <c r="V19" s="12">
        <f t="shared" ref="V19:V38" si="9">IF(T$12=0,0,T19/T$12)</f>
        <v>0.52346300128716461</v>
      </c>
      <c r="W19" s="4"/>
      <c r="X19" s="4">
        <f t="shared" ref="X19:X38" si="10">+P19-T19</f>
        <v>128476.18000000005</v>
      </c>
      <c r="Y19" s="4"/>
      <c r="Z19" s="12">
        <f t="shared" ref="Z19:Z38" si="11">IF(T19=0,0,X19/T19)</f>
        <v>0.16217419349138051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210648.98</v>
      </c>
      <c r="E20" s="2"/>
      <c r="F20" s="19">
        <f t="shared" si="4"/>
        <v>0.56414053142107912</v>
      </c>
      <c r="G20" s="2"/>
      <c r="H20" s="2">
        <v>133246</v>
      </c>
      <c r="I20" s="2"/>
      <c r="J20" s="19">
        <f t="shared" si="5"/>
        <v>0.50504108675217563</v>
      </c>
      <c r="K20" s="2"/>
      <c r="L20" s="2">
        <f t="shared" si="6"/>
        <v>77402.98000000001</v>
      </c>
      <c r="M20" s="2"/>
      <c r="N20" s="19">
        <f t="shared" si="7"/>
        <v>0.5809028413610916</v>
      </c>
      <c r="O20" s="11"/>
      <c r="P20" s="2">
        <v>1043534.1</v>
      </c>
      <c r="Q20" s="2"/>
      <c r="R20" s="19">
        <f t="shared" si="8"/>
        <v>0.55986024628077835</v>
      </c>
      <c r="S20" s="2"/>
      <c r="T20" s="2">
        <v>792211</v>
      </c>
      <c r="U20" s="2"/>
      <c r="V20" s="19">
        <f t="shared" si="9"/>
        <v>0.52346300128716461</v>
      </c>
      <c r="W20" s="2"/>
      <c r="X20" s="2">
        <f t="shared" si="10"/>
        <v>251323.09999999998</v>
      </c>
      <c r="Y20" s="2"/>
      <c r="Z20" s="19">
        <f t="shared" si="11"/>
        <v>0.31724262854214341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"5043", " - ", "PURCHASES @ COST-CARDS")</f>
        <v xml:space="preserve">          5043 - PURCHASES @ COST-CARDS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"5200", " - ", "PURCHASES OFFSET")</f>
        <v xml:space="preserve">          5200 - PURCHASES OFFSET</v>
      </c>
      <c r="C30" s="11"/>
      <c r="D30" s="2">
        <v>-219133.53</v>
      </c>
      <c r="E30" s="2"/>
      <c r="F30" s="19">
        <f t="shared" si="4"/>
        <v>-0.58686306511608544</v>
      </c>
      <c r="G30" s="2"/>
      <c r="H30" s="2"/>
      <c r="I30" s="2"/>
      <c r="J30" s="19">
        <f t="shared" si="5"/>
        <v>0</v>
      </c>
      <c r="K30" s="2"/>
      <c r="L30" s="2">
        <f t="shared" si="6"/>
        <v>-219133.53</v>
      </c>
      <c r="M30" s="2"/>
      <c r="N30" s="19">
        <f t="shared" si="7"/>
        <v>0</v>
      </c>
      <c r="O30" s="11"/>
      <c r="P30" s="2">
        <v>-1075384</v>
      </c>
      <c r="Q30" s="2"/>
      <c r="R30" s="19">
        <f t="shared" si="8"/>
        <v>-0.57694784586953951</v>
      </c>
      <c r="S30" s="2"/>
      <c r="T30" s="2"/>
      <c r="U30" s="2"/>
      <c r="V30" s="19">
        <f t="shared" si="9"/>
        <v>0</v>
      </c>
      <c r="W30" s="2"/>
      <c r="X30" s="2">
        <f t="shared" si="10"/>
        <v>-1075384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"5300", " - ", "COG$ OFFSET")</f>
        <v xml:space="preserve">          5300 - COG$ OFFSET</v>
      </c>
      <c r="C31" s="11"/>
      <c r="D31" s="2">
        <v>185783.58</v>
      </c>
      <c r="E31" s="2"/>
      <c r="F31" s="19">
        <f t="shared" si="4"/>
        <v>0.49754832684454753</v>
      </c>
      <c r="G31" s="2"/>
      <c r="H31" s="2"/>
      <c r="I31" s="2"/>
      <c r="J31" s="19">
        <f t="shared" si="5"/>
        <v>0</v>
      </c>
      <c r="K31" s="2"/>
      <c r="L31" s="2">
        <f t="shared" si="6"/>
        <v>185783.58</v>
      </c>
      <c r="M31" s="2"/>
      <c r="N31" s="19">
        <f t="shared" si="7"/>
        <v>0</v>
      </c>
      <c r="O31" s="11"/>
      <c r="P31" s="2">
        <v>920687.18</v>
      </c>
      <c r="Q31" s="2"/>
      <c r="R31" s="19">
        <f t="shared" si="8"/>
        <v>0.49395237907640527</v>
      </c>
      <c r="S31" s="2"/>
      <c r="T31" s="2"/>
      <c r="U31" s="2"/>
      <c r="V31" s="19">
        <f t="shared" si="9"/>
        <v>0</v>
      </c>
      <c r="W31" s="2"/>
      <c r="X31" s="2">
        <f t="shared" si="10"/>
        <v>920687.18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"5500", " - ", "FREIGHT-IN")</f>
        <v xml:space="preserve">          5500 - FREIGHT-IN</v>
      </c>
      <c r="C32" s="11"/>
      <c r="D32" s="2">
        <v>8484.5499999999993</v>
      </c>
      <c r="E32" s="2"/>
      <c r="F32" s="19">
        <f t="shared" si="4"/>
        <v>2.2722533695006337E-2</v>
      </c>
      <c r="G32" s="2"/>
      <c r="H32" s="2"/>
      <c r="I32" s="2"/>
      <c r="J32" s="19">
        <f t="shared" si="5"/>
        <v>0</v>
      </c>
      <c r="K32" s="2"/>
      <c r="L32" s="2">
        <f t="shared" si="6"/>
        <v>8484.5499999999993</v>
      </c>
      <c r="M32" s="2"/>
      <c r="N32" s="19">
        <f t="shared" si="7"/>
        <v>0</v>
      </c>
      <c r="O32" s="11"/>
      <c r="P32" s="2">
        <v>31849.9</v>
      </c>
      <c r="Q32" s="2"/>
      <c r="R32" s="19">
        <f t="shared" si="8"/>
        <v>1.708759958876108E-2</v>
      </c>
      <c r="S32" s="2"/>
      <c r="T32" s="2"/>
      <c r="U32" s="2"/>
      <c r="V32" s="19">
        <f t="shared" si="9"/>
        <v>0</v>
      </c>
      <c r="W32" s="2"/>
      <c r="X32" s="2">
        <f t="shared" si="10"/>
        <v>31849.9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"5527", " - ", "FREIGHT-IN-SCHOOL SUPPLIES")</f>
        <v xml:space="preserve">          5527 - FREIGHT-IN-SCHOOL SUPPLIES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"5540", " - ", "FREIGHT-IN-LOGO CLOTHING")</f>
        <v xml:space="preserve">          5540 - FREIGHT-IN-LOGO CLOTHING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"5541", " - ", "FREIGHT-IN-LOGO GIFTS")</f>
        <v xml:space="preserve">          5541 - FREIGHT-IN-LOGO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"5542", " - ", "FREIGHT-IN-EVERYDAY GIFTS")</f>
        <v xml:space="preserve">          5542 - FREIGHT-IN-EVERYDAY GIFTS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"5544", " - ", "FREIGHT-IN-ACCESSORIES")</f>
        <v xml:space="preserve">          5544 - FREIGHT-IN-ACCESSORIES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"5545", " - ", "FREIGHT-IN-SPECIAL ORDERS")</f>
        <v xml:space="preserve">          5545 - FREIGHT-IN-SPECIAL ORDERS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x14ac:dyDescent="0.3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10"/>
      <c r="B40" s="26" t="s">
        <v>108</v>
      </c>
      <c r="C40" s="26"/>
      <c r="D40" s="20">
        <f>D12-D19</f>
        <v>187614.48000000007</v>
      </c>
      <c r="E40" s="13"/>
      <c r="F40" s="22">
        <f>IF(D$12=0,0,D40/D$12)</f>
        <v>0.50245167315545247</v>
      </c>
      <c r="G40" s="13"/>
      <c r="H40" s="20">
        <f>H12-H19</f>
        <v>130586</v>
      </c>
      <c r="I40" s="13"/>
      <c r="J40" s="22">
        <f>IF(H$12=0,0,H40/H$12)</f>
        <v>0.49495891324782437</v>
      </c>
      <c r="K40" s="16"/>
      <c r="L40" s="20">
        <f>+D40-H40</f>
        <v>57028.480000000069</v>
      </c>
      <c r="M40" s="16"/>
      <c r="N40" s="22">
        <f>IF(H40=0,0,L40/H40)</f>
        <v>0.43671205182791467</v>
      </c>
      <c r="O40" s="25"/>
      <c r="P40" s="20">
        <f>P12-P19</f>
        <v>943231.72999999986</v>
      </c>
      <c r="Q40" s="13"/>
      <c r="R40" s="22">
        <f>IF(P$12=0,0,P40/P$12)</f>
        <v>0.50604762092359479</v>
      </c>
      <c r="S40" s="13"/>
      <c r="T40" s="20">
        <f>T12-T19</f>
        <v>721193</v>
      </c>
      <c r="U40" s="13"/>
      <c r="V40" s="22">
        <f>IF(T$12=0,0,T40/T$12)</f>
        <v>0.47653699871283545</v>
      </c>
      <c r="W40" s="16"/>
      <c r="X40" s="20">
        <f>+P40-T40</f>
        <v>222038.72999999986</v>
      </c>
      <c r="Y40" s="16"/>
      <c r="Z40" s="22">
        <f>IF(T40=0,0,X40/T40)</f>
        <v>0.30787698993195978</v>
      </c>
    </row>
    <row r="41" spans="1:26" x14ac:dyDescent="0.3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295</v>
      </c>
      <c r="C42" s="10"/>
      <c r="D42" s="21">
        <f>SUM(OSRRefD22x_0)</f>
        <v>69462.920000000013</v>
      </c>
      <c r="E42" s="21"/>
      <c r="F42" s="32">
        <f t="shared" ref="F42:F52" si="12">IF(D$12=0,0,D42/D$12)</f>
        <v>0.18602914005498583</v>
      </c>
      <c r="G42" s="21"/>
      <c r="H42" s="21">
        <f>SUM(OSRRefH22x_0)</f>
        <v>76380.869701923075</v>
      </c>
      <c r="I42" s="21"/>
      <c r="J42" s="32">
        <f t="shared" ref="J42:J52" si="13">IF(H$12=0,0,H42/H$12)</f>
        <v>0.28950570704813317</v>
      </c>
      <c r="K42" s="4"/>
      <c r="L42" s="21">
        <f t="shared" ref="L42:L52" si="14">+D42-H42</f>
        <v>-6917.9497019230621</v>
      </c>
      <c r="M42" s="4"/>
      <c r="N42" s="32">
        <f t="shared" ref="N42:N52" si="15">IF(H42=0,0,L42/H42)</f>
        <v>-9.0571758725979598E-2</v>
      </c>
      <c r="O42" s="10"/>
      <c r="P42" s="21">
        <f>SUM(OSRRefP22x_0)</f>
        <v>451976.61999999994</v>
      </c>
      <c r="Q42" s="21"/>
      <c r="R42" s="32">
        <f t="shared" ref="R42:R52" si="16">IF(P$12=0,0,P42/P$12)</f>
        <v>0.24248727644487494</v>
      </c>
      <c r="S42" s="21"/>
      <c r="T42" s="21">
        <f>SUM(OSRRefT22x_0)</f>
        <v>504064.89006250002</v>
      </c>
      <c r="U42" s="21"/>
      <c r="V42" s="32">
        <f t="shared" ref="V42:V52" si="17">IF(T$12=0,0,T42/T$12)</f>
        <v>0.33306697356588194</v>
      </c>
      <c r="W42" s="4"/>
      <c r="X42" s="21">
        <f t="shared" ref="X42:X52" si="18">+P42-T42</f>
        <v>-52088.270062500087</v>
      </c>
      <c r="Y42" s="4"/>
      <c r="Z42" s="32">
        <f t="shared" ref="Z42:Z52" si="19">IF(T42=0,0,X42/T42)</f>
        <v>-0.10333643760834356</v>
      </c>
    </row>
    <row r="43" spans="1:26" s="28" customFormat="1" outlineLevel="1" collapsed="1" x14ac:dyDescent="0.3">
      <c r="A43" s="27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12134.150000000001</v>
      </c>
      <c r="E43" s="1"/>
      <c r="F43" s="5">
        <f t="shared" si="12"/>
        <v>3.2496553410052531E-2</v>
      </c>
      <c r="G43" s="1"/>
      <c r="H43" s="1">
        <f>SUM(OSRRefH22_0x_0)</f>
        <v>17453.119701923082</v>
      </c>
      <c r="I43" s="1"/>
      <c r="J43" s="5">
        <f t="shared" si="13"/>
        <v>6.6152398882330737E-2</v>
      </c>
      <c r="K43" s="1"/>
      <c r="L43" s="1">
        <f t="shared" si="14"/>
        <v>-5318.9697019230807</v>
      </c>
      <c r="M43" s="1"/>
      <c r="N43" s="5">
        <f t="shared" si="15"/>
        <v>-0.30475753290897367</v>
      </c>
      <c r="O43" s="14"/>
      <c r="P43" s="1">
        <f>SUM(OSRRefP22_0x_0)</f>
        <v>78478.710000000006</v>
      </c>
      <c r="Q43" s="1"/>
      <c r="R43" s="5">
        <f t="shared" si="16"/>
        <v>4.2104143897547568E-2</v>
      </c>
      <c r="S43" s="1"/>
      <c r="T43" s="1">
        <f>SUM(OSRRefT22_0x_0)</f>
        <v>106081.5150625</v>
      </c>
      <c r="U43" s="1"/>
      <c r="V43" s="5">
        <f t="shared" si="17"/>
        <v>7.0094644300200071E-2</v>
      </c>
      <c r="W43" s="1"/>
      <c r="X43" s="1">
        <f t="shared" si="18"/>
        <v>-27602.805062499989</v>
      </c>
      <c r="Y43" s="1"/>
      <c r="Z43" s="5">
        <f t="shared" si="19"/>
        <v>-0.26020372207389059</v>
      </c>
    </row>
    <row r="44" spans="1:26" s="24" customFormat="1" hidden="1" outlineLevel="2" x14ac:dyDescent="0.3">
      <c r="A44" s="29"/>
      <c r="B44" s="11" t="str">
        <f>CONCATENATE("          ", "6111", " - ", "F.I.C.A.")</f>
        <v xml:space="preserve">          6111 - F.I.C.A.</v>
      </c>
      <c r="C44" s="11"/>
      <c r="D44" s="6">
        <v>1919.5</v>
      </c>
      <c r="E44" s="2"/>
      <c r="F44" s="7">
        <f t="shared" si="12"/>
        <v>5.1406266010059071E-3</v>
      </c>
      <c r="G44" s="2"/>
      <c r="H44" s="6">
        <v>4257.9378749999996</v>
      </c>
      <c r="I44" s="2"/>
      <c r="J44" s="7">
        <f t="shared" si="13"/>
        <v>1.6138822716728826E-2</v>
      </c>
      <c r="K44" s="2"/>
      <c r="L44" s="6">
        <f t="shared" si="14"/>
        <v>-2338.4378749999996</v>
      </c>
      <c r="M44" s="2"/>
      <c r="N44" s="7">
        <f t="shared" si="15"/>
        <v>-0.54919492572446227</v>
      </c>
      <c r="O44" s="11"/>
      <c r="P44" s="6">
        <v>15612.8</v>
      </c>
      <c r="Q44" s="2"/>
      <c r="R44" s="7">
        <f t="shared" si="16"/>
        <v>8.376330062556208E-3</v>
      </c>
      <c r="S44" s="2"/>
      <c r="T44" s="6">
        <v>22924.0831875</v>
      </c>
      <c r="U44" s="2"/>
      <c r="V44" s="7">
        <f t="shared" si="17"/>
        <v>1.5147365268956605E-2</v>
      </c>
      <c r="W44" s="2"/>
      <c r="X44" s="6">
        <f t="shared" si="18"/>
        <v>-7311.2831875000011</v>
      </c>
      <c r="Y44" s="2"/>
      <c r="Z44" s="7">
        <f t="shared" si="19"/>
        <v>-0.31893459501519711</v>
      </c>
    </row>
    <row r="45" spans="1:26" s="24" customFormat="1" hidden="1" outlineLevel="2" x14ac:dyDescent="0.3">
      <c r="A45" s="29"/>
      <c r="B45" s="11" t="str">
        <f>CONCATENATE("          ", "6112", " - ", "COMPENSATION INSURANCE")</f>
        <v xml:space="preserve">          6112 - COMPENSATION INSURANCE</v>
      </c>
      <c r="C45" s="11"/>
      <c r="D45" s="6">
        <v>791.11</v>
      </c>
      <c r="E45" s="2"/>
      <c r="F45" s="7">
        <f t="shared" si="12"/>
        <v>2.1186773171772769E-3</v>
      </c>
      <c r="G45" s="2"/>
      <c r="H45" s="6">
        <v>867.94500000000005</v>
      </c>
      <c r="I45" s="2"/>
      <c r="J45" s="7">
        <f t="shared" si="13"/>
        <v>3.28976394068953E-3</v>
      </c>
      <c r="K45" s="2"/>
      <c r="L45" s="6">
        <f t="shared" si="14"/>
        <v>-76.835000000000036</v>
      </c>
      <c r="M45" s="2"/>
      <c r="N45" s="7">
        <f t="shared" si="15"/>
        <v>-8.8525194568780316E-2</v>
      </c>
      <c r="O45" s="11"/>
      <c r="P45" s="6">
        <v>5166.8900000000003</v>
      </c>
      <c r="Q45" s="2"/>
      <c r="R45" s="7">
        <f t="shared" si="16"/>
        <v>2.7720572886939594E-3</v>
      </c>
      <c r="S45" s="2"/>
      <c r="T45" s="6">
        <v>5641.6424999999999</v>
      </c>
      <c r="U45" s="2"/>
      <c r="V45" s="7">
        <f t="shared" si="17"/>
        <v>3.727783526408018E-3</v>
      </c>
      <c r="W45" s="2"/>
      <c r="X45" s="6">
        <f t="shared" si="18"/>
        <v>-474.7524999999996</v>
      </c>
      <c r="Y45" s="2"/>
      <c r="Z45" s="7">
        <f t="shared" si="19"/>
        <v>-8.4151468300233415E-2</v>
      </c>
    </row>
    <row r="46" spans="1:26" s="24" customFormat="1" hidden="1" outlineLevel="2" x14ac:dyDescent="0.3">
      <c r="A46" s="29"/>
      <c r="B46" s="11" t="str">
        <f>CONCATENATE("          ", "6113", " - ", "GROUP INSURANCE")</f>
        <v xml:space="preserve">          6113 - GROUP INSURANCE</v>
      </c>
      <c r="C46" s="11"/>
      <c r="D46" s="6">
        <v>4284.43</v>
      </c>
      <c r="E46" s="2"/>
      <c r="F46" s="7">
        <f t="shared" si="12"/>
        <v>1.147416245279903E-2</v>
      </c>
      <c r="G46" s="2"/>
      <c r="H46" s="6">
        <v>6784.4230769230799</v>
      </c>
      <c r="I46" s="2"/>
      <c r="J46" s="7">
        <f t="shared" si="13"/>
        <v>2.5714936311452288E-2</v>
      </c>
      <c r="K46" s="2"/>
      <c r="L46" s="6">
        <f t="shared" si="14"/>
        <v>-2499.9930769230796</v>
      </c>
      <c r="M46" s="2"/>
      <c r="N46" s="7">
        <f t="shared" si="15"/>
        <v>-0.36849014994756113</v>
      </c>
      <c r="O46" s="11"/>
      <c r="P46" s="6">
        <v>25729.08</v>
      </c>
      <c r="Q46" s="2"/>
      <c r="R46" s="7">
        <f t="shared" si="16"/>
        <v>1.3803755014213576E-2</v>
      </c>
      <c r="S46" s="2"/>
      <c r="T46" s="6">
        <v>41925</v>
      </c>
      <c r="U46" s="2"/>
      <c r="V46" s="7">
        <f t="shared" si="17"/>
        <v>2.7702450898768605E-2</v>
      </c>
      <c r="W46" s="2"/>
      <c r="X46" s="6">
        <f t="shared" si="18"/>
        <v>-16195.919999999998</v>
      </c>
      <c r="Y46" s="2"/>
      <c r="Z46" s="7">
        <f t="shared" si="19"/>
        <v>-0.38630697674418601</v>
      </c>
    </row>
    <row r="47" spans="1:26" s="24" customFormat="1" hidden="1" outlineLevel="2" x14ac:dyDescent="0.3">
      <c r="A47" s="29"/>
      <c r="B47" s="11" t="str">
        <f>CONCATENATE("          ", "6114", " - ", "STATE UNEMPLOYMENT INSURANCE")</f>
        <v xml:space="preserve">          6114 - STATE UNEMPLOYMENT INSURANCE</v>
      </c>
      <c r="C47" s="11"/>
      <c r="D47" s="6">
        <v>138.97999999999999</v>
      </c>
      <c r="E47" s="2"/>
      <c r="F47" s="7">
        <f t="shared" si="12"/>
        <v>3.7220332639114397E-4</v>
      </c>
      <c r="G47" s="2"/>
      <c r="H47" s="6">
        <v>116.83875</v>
      </c>
      <c r="I47" s="2"/>
      <c r="J47" s="7">
        <f t="shared" si="13"/>
        <v>4.4285283816974442E-4</v>
      </c>
      <c r="K47" s="2"/>
      <c r="L47" s="6">
        <f t="shared" si="14"/>
        <v>22.141249999999985</v>
      </c>
      <c r="M47" s="2"/>
      <c r="N47" s="7">
        <f t="shared" si="15"/>
        <v>0.18950262648308017</v>
      </c>
      <c r="O47" s="11"/>
      <c r="P47" s="6">
        <v>907.69</v>
      </c>
      <c r="Q47" s="2"/>
      <c r="R47" s="7">
        <f t="shared" si="16"/>
        <v>4.8697933967524373E-4</v>
      </c>
      <c r="S47" s="2"/>
      <c r="T47" s="6">
        <v>759.45187499999997</v>
      </c>
      <c r="U47" s="2"/>
      <c r="V47" s="7">
        <f t="shared" si="17"/>
        <v>5.0181701317031011E-4</v>
      </c>
      <c r="W47" s="2"/>
      <c r="X47" s="6">
        <f t="shared" si="18"/>
        <v>148.23812500000008</v>
      </c>
      <c r="Y47" s="2"/>
      <c r="Z47" s="7">
        <f t="shared" si="19"/>
        <v>0.19519093951805713</v>
      </c>
    </row>
    <row r="48" spans="1:26" s="24" customFormat="1" hidden="1" outlineLevel="2" x14ac:dyDescent="0.3">
      <c r="A48" s="29"/>
      <c r="B48" s="11" t="str">
        <f>CONCATENATE("          ", "6115", " - ", "P.E.R.S.")</f>
        <v xml:space="preserve">          6115 - P.E.R.S.</v>
      </c>
      <c r="C48" s="11"/>
      <c r="D48" s="6">
        <v>1550.21</v>
      </c>
      <c r="E48" s="2"/>
      <c r="F48" s="7">
        <f t="shared" si="12"/>
        <v>4.1516284257074069E-3</v>
      </c>
      <c r="G48" s="2"/>
      <c r="H48" s="6">
        <v>1207.2249999999999</v>
      </c>
      <c r="I48" s="2"/>
      <c r="J48" s="7">
        <f t="shared" si="13"/>
        <v>4.5757338002971586E-3</v>
      </c>
      <c r="K48" s="2"/>
      <c r="L48" s="6">
        <f t="shared" si="14"/>
        <v>342.98500000000013</v>
      </c>
      <c r="M48" s="2"/>
      <c r="N48" s="7">
        <f t="shared" si="15"/>
        <v>0.28411025285261665</v>
      </c>
      <c r="O48" s="11"/>
      <c r="P48" s="6">
        <v>9808.08</v>
      </c>
      <c r="Q48" s="2"/>
      <c r="R48" s="7">
        <f t="shared" si="16"/>
        <v>5.2620744107371069E-3</v>
      </c>
      <c r="S48" s="2"/>
      <c r="T48" s="6">
        <v>7846.9624999999996</v>
      </c>
      <c r="U48" s="2"/>
      <c r="V48" s="7">
        <f t="shared" si="17"/>
        <v>5.1849753932195234E-3</v>
      </c>
      <c r="W48" s="2"/>
      <c r="X48" s="6">
        <f t="shared" si="18"/>
        <v>1961.1175000000003</v>
      </c>
      <c r="Y48" s="2"/>
      <c r="Z48" s="7">
        <f t="shared" si="19"/>
        <v>0.24992059029210353</v>
      </c>
    </row>
    <row r="49" spans="1:26" s="24" customFormat="1" hidden="1" outlineLevel="2" x14ac:dyDescent="0.3">
      <c r="A49" s="29"/>
      <c r="B49" s="11" t="str">
        <f>CONCATENATE("          ", "6116", " - ", "EDUCATIONAL BENEFITS")</f>
        <v xml:space="preserve">          6116 - EDUCATIONAL BENEFITS</v>
      </c>
      <c r="C49" s="11"/>
      <c r="D49" s="6"/>
      <c r="E49" s="2"/>
      <c r="F49" s="7">
        <f t="shared" si="12"/>
        <v>0</v>
      </c>
      <c r="G49" s="2"/>
      <c r="H49" s="6">
        <v>0</v>
      </c>
      <c r="I49" s="2"/>
      <c r="J49" s="7">
        <f t="shared" si="13"/>
        <v>0</v>
      </c>
      <c r="K49" s="2"/>
      <c r="L49" s="6">
        <f t="shared" si="14"/>
        <v>0</v>
      </c>
      <c r="M49" s="2"/>
      <c r="N49" s="7">
        <f t="shared" si="15"/>
        <v>0</v>
      </c>
      <c r="O49" s="11"/>
      <c r="P49" s="6"/>
      <c r="Q49" s="2"/>
      <c r="R49" s="7">
        <f t="shared" si="16"/>
        <v>0</v>
      </c>
      <c r="S49" s="2"/>
      <c r="T49" s="6">
        <v>0</v>
      </c>
      <c r="U49" s="2"/>
      <c r="V49" s="7">
        <f t="shared" si="17"/>
        <v>0</v>
      </c>
      <c r="W49" s="2"/>
      <c r="X49" s="6">
        <f t="shared" si="18"/>
        <v>0</v>
      </c>
      <c r="Y49" s="2"/>
      <c r="Z49" s="7">
        <f t="shared" si="19"/>
        <v>0</v>
      </c>
    </row>
    <row r="50" spans="1:26" s="24" customFormat="1" hidden="1" outlineLevel="2" x14ac:dyDescent="0.3">
      <c r="A50" s="29"/>
      <c r="B50" s="11" t="str">
        <f>CONCATENATE("          ", "6118", " - ", "VACATION")</f>
        <v xml:space="preserve">          6118 - VACATION</v>
      </c>
      <c r="C50" s="11"/>
      <c r="D50" s="6">
        <v>1690.93</v>
      </c>
      <c r="E50" s="2"/>
      <c r="F50" s="7">
        <f t="shared" si="12"/>
        <v>4.5284916584729974E-3</v>
      </c>
      <c r="G50" s="2"/>
      <c r="H50" s="6">
        <v>1113.875</v>
      </c>
      <c r="I50" s="2"/>
      <c r="J50" s="7">
        <f t="shared" si="13"/>
        <v>4.2219101549470879E-3</v>
      </c>
      <c r="K50" s="2"/>
      <c r="L50" s="6">
        <f t="shared" si="14"/>
        <v>577.05500000000006</v>
      </c>
      <c r="M50" s="2"/>
      <c r="N50" s="7">
        <f t="shared" si="15"/>
        <v>0.51806082370104367</v>
      </c>
      <c r="O50" s="11"/>
      <c r="P50" s="6">
        <v>10567.17</v>
      </c>
      <c r="Q50" s="2"/>
      <c r="R50" s="7">
        <f t="shared" si="16"/>
        <v>5.6693292520971312E-3</v>
      </c>
      <c r="S50" s="2"/>
      <c r="T50" s="6">
        <v>7240.1875</v>
      </c>
      <c r="U50" s="2"/>
      <c r="V50" s="7">
        <f t="shared" si="17"/>
        <v>4.7840414720722296E-3</v>
      </c>
      <c r="W50" s="2"/>
      <c r="X50" s="6">
        <f t="shared" si="18"/>
        <v>3326.9825000000001</v>
      </c>
      <c r="Y50" s="2"/>
      <c r="Z50" s="7">
        <f t="shared" si="19"/>
        <v>0.45951606916257348</v>
      </c>
    </row>
    <row r="51" spans="1:26" s="24" customFormat="1" hidden="1" outlineLevel="2" x14ac:dyDescent="0.3">
      <c r="A51" s="29"/>
      <c r="B51" s="11" t="str">
        <f>CONCATENATE("          ", "6119", " - ", "SICK LEAVE")</f>
        <v xml:space="preserve">          6119 - SICK LEAVE</v>
      </c>
      <c r="C51" s="11"/>
      <c r="D51" s="6">
        <v>1109.04</v>
      </c>
      <c r="E51" s="2"/>
      <c r="F51" s="7">
        <f t="shared" si="12"/>
        <v>2.9701279112162495E-3</v>
      </c>
      <c r="G51" s="2"/>
      <c r="H51" s="6">
        <v>2229.875</v>
      </c>
      <c r="I51" s="2"/>
      <c r="J51" s="7">
        <f t="shared" si="13"/>
        <v>8.4518746778252836E-3</v>
      </c>
      <c r="K51" s="2"/>
      <c r="L51" s="6">
        <f t="shared" si="14"/>
        <v>-1120.835</v>
      </c>
      <c r="M51" s="2"/>
      <c r="N51" s="7">
        <f t="shared" si="15"/>
        <v>-0.5026447670833567</v>
      </c>
      <c r="O51" s="11"/>
      <c r="P51" s="6">
        <v>7016.88</v>
      </c>
      <c r="Q51" s="2"/>
      <c r="R51" s="7">
        <f t="shared" si="16"/>
        <v>3.7645843723963296E-3</v>
      </c>
      <c r="S51" s="2"/>
      <c r="T51" s="6">
        <v>14494.1875</v>
      </c>
      <c r="U51" s="2"/>
      <c r="V51" s="7">
        <f t="shared" si="17"/>
        <v>9.5772097206033545E-3</v>
      </c>
      <c r="W51" s="2"/>
      <c r="X51" s="6">
        <f t="shared" si="18"/>
        <v>-7477.3074999999999</v>
      </c>
      <c r="Y51" s="2"/>
      <c r="Z51" s="7">
        <f t="shared" si="19"/>
        <v>-0.51588317730814504</v>
      </c>
    </row>
    <row r="52" spans="1:26" s="24" customFormat="1" hidden="1" outlineLevel="2" x14ac:dyDescent="0.3">
      <c r="A52" s="29"/>
      <c r="B52" s="11" t="str">
        <f>CONCATENATE("          ", "6156", " - ", "EMPLOYEE MEALS")</f>
        <v xml:space="preserve">          6156 - EMPLOYEE MEALS</v>
      </c>
      <c r="C52" s="11"/>
      <c r="D52" s="6">
        <v>649.95000000000005</v>
      </c>
      <c r="E52" s="2"/>
      <c r="F52" s="7">
        <f t="shared" si="12"/>
        <v>1.7406357172825161E-3</v>
      </c>
      <c r="G52" s="2"/>
      <c r="H52" s="6">
        <v>875</v>
      </c>
      <c r="I52" s="2"/>
      <c r="J52" s="7">
        <f t="shared" si="13"/>
        <v>3.3165044422208073E-3</v>
      </c>
      <c r="K52" s="2"/>
      <c r="L52" s="6">
        <f t="shared" si="14"/>
        <v>-225.04999999999995</v>
      </c>
      <c r="M52" s="2"/>
      <c r="N52" s="7">
        <f t="shared" si="15"/>
        <v>-0.25719999999999993</v>
      </c>
      <c r="O52" s="11"/>
      <c r="P52" s="6">
        <v>3670.12</v>
      </c>
      <c r="Q52" s="2"/>
      <c r="R52" s="7">
        <f t="shared" si="16"/>
        <v>1.9690341571780073E-3</v>
      </c>
      <c r="S52" s="2"/>
      <c r="T52" s="6">
        <v>5250</v>
      </c>
      <c r="U52" s="2"/>
      <c r="V52" s="7">
        <f t="shared" si="17"/>
        <v>3.4690010070014352E-3</v>
      </c>
      <c r="W52" s="2"/>
      <c r="X52" s="6">
        <f t="shared" si="18"/>
        <v>-1579.88</v>
      </c>
      <c r="Y52" s="2"/>
      <c r="Z52" s="7">
        <f t="shared" si="19"/>
        <v>-0.30092952380952381</v>
      </c>
    </row>
    <row r="53" spans="1:26" s="28" customFormat="1" outlineLevel="1" collapsed="1" x14ac:dyDescent="0.3">
      <c r="A53" s="27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51382.759999999995</v>
      </c>
      <c r="E53" s="1"/>
      <c r="F53" s="5">
        <f t="shared" ref="F53:F63" si="20">IF(D$12=0,0,D53/D$12)</f>
        <v>0.13760853497739112</v>
      </c>
      <c r="G53" s="1"/>
      <c r="H53" s="1">
        <f>SUM(OSRRefH22_1x_0)</f>
        <v>53121.75</v>
      </c>
      <c r="I53" s="1"/>
      <c r="J53" s="5">
        <f t="shared" ref="J53:J63" si="21">IF(H$12=0,0,H53/H$12)</f>
        <v>0.20134687983262076</v>
      </c>
      <c r="K53" s="1"/>
      <c r="L53" s="1">
        <f t="shared" ref="L53:L63" si="22">+D53-H53</f>
        <v>-1738.9900000000052</v>
      </c>
      <c r="M53" s="1"/>
      <c r="N53" s="5">
        <f t="shared" ref="N53:N63" si="23">IF(H53=0,0,L53/H53)</f>
        <v>-3.2735932080550909E-2</v>
      </c>
      <c r="O53" s="14"/>
      <c r="P53" s="1">
        <f>SUM(OSRRefP22_1x_0)</f>
        <v>322849.89</v>
      </c>
      <c r="Q53" s="1"/>
      <c r="R53" s="5">
        <f t="shared" ref="R53:R63" si="24">IF(P$12=0,0,P53/P$12)</f>
        <v>0.17321026589080532</v>
      </c>
      <c r="S53" s="1"/>
      <c r="T53" s="1">
        <f>SUM(OSRRefT22_1x_0)</f>
        <v>345291.375</v>
      </c>
      <c r="U53" s="1"/>
      <c r="V53" s="5">
        <f t="shared" ref="V53:V63" si="25">IF(T$12=0,0,T53/T$12)</f>
        <v>0.22815545287312575</v>
      </c>
      <c r="W53" s="1"/>
      <c r="X53" s="1">
        <f t="shared" ref="X53:X63" si="26">+P53-T53</f>
        <v>-22441.484999999986</v>
      </c>
      <c r="Y53" s="1"/>
      <c r="Z53" s="5">
        <f t="shared" ref="Z53:Z63" si="27">IF(T53=0,0,X53/T53)</f>
        <v>-6.4992891872842129E-2</v>
      </c>
    </row>
    <row r="54" spans="1:26" s="24" customFormat="1" hidden="1" outlineLevel="2" x14ac:dyDescent="0.3">
      <c r="A54" s="29"/>
      <c r="B54" s="11" t="str">
        <f>CONCATENATE("          ", "6001", " - ", "ADMINISTRATIVE SALARIES")</f>
        <v xml:space="preserve">          6001 - ADMINISTRATIVE SALARIES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9"/>
      <c r="B55" s="11" t="str">
        <f>CONCATENATE("          ", "6002", " - ", "STAFF SALARIES")</f>
        <v xml:space="preserve">          6002 - STAFF SALARIES</v>
      </c>
      <c r="C55" s="11"/>
      <c r="D55" s="6">
        <v>15353.2</v>
      </c>
      <c r="E55" s="2"/>
      <c r="F55" s="7">
        <f t="shared" si="20"/>
        <v>4.1117514108134356E-2</v>
      </c>
      <c r="G55" s="2"/>
      <c r="H55" s="6">
        <v>12633.75</v>
      </c>
      <c r="I55" s="2"/>
      <c r="J55" s="7">
        <f t="shared" si="21"/>
        <v>4.7885586282179572E-2</v>
      </c>
      <c r="K55" s="2"/>
      <c r="L55" s="6">
        <f t="shared" si="22"/>
        <v>2719.4500000000007</v>
      </c>
      <c r="M55" s="2"/>
      <c r="N55" s="7">
        <f t="shared" si="23"/>
        <v>0.21525279509251019</v>
      </c>
      <c r="O55" s="11"/>
      <c r="P55" s="6">
        <v>92499.08</v>
      </c>
      <c r="Q55" s="2"/>
      <c r="R55" s="7">
        <f t="shared" si="24"/>
        <v>4.9626128853427431E-2</v>
      </c>
      <c r="S55" s="2"/>
      <c r="T55" s="6">
        <v>82119.375</v>
      </c>
      <c r="U55" s="2"/>
      <c r="V55" s="7">
        <f t="shared" si="25"/>
        <v>5.4261370394157807E-2</v>
      </c>
      <c r="W55" s="2"/>
      <c r="X55" s="6">
        <f t="shared" si="26"/>
        <v>10379.705000000002</v>
      </c>
      <c r="Y55" s="2"/>
      <c r="Z55" s="7">
        <f t="shared" si="27"/>
        <v>0.12639775935946909</v>
      </c>
    </row>
    <row r="56" spans="1:26" s="24" customFormat="1" hidden="1" outlineLevel="2" x14ac:dyDescent="0.3">
      <c r="A56" s="29"/>
      <c r="B56" s="11" t="str">
        <f>CONCATENATE("          ", "6003", " - ", "STAFF HOURLY-9 MONTH")</f>
        <v xml:space="preserve">          6003 - STAFF HOURLY-9 MONTH</v>
      </c>
      <c r="C56" s="11"/>
      <c r="D56" s="6"/>
      <c r="E56" s="2"/>
      <c r="F56" s="7">
        <f t="shared" si="20"/>
        <v>0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/>
      <c r="Q56" s="2"/>
      <c r="R56" s="7">
        <f t="shared" si="24"/>
        <v>0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0</v>
      </c>
      <c r="Y56" s="2"/>
      <c r="Z56" s="7">
        <f t="shared" si="27"/>
        <v>0</v>
      </c>
    </row>
    <row r="57" spans="1:26" s="24" customFormat="1" hidden="1" outlineLevel="2" x14ac:dyDescent="0.3">
      <c r="A57" s="29"/>
      <c r="B57" s="11" t="str">
        <f>CONCATENATE("          ", "6004", " - ", "STAFF HOURLY")</f>
        <v xml:space="preserve">          6004 - STAFF HOURLY</v>
      </c>
      <c r="C57" s="11"/>
      <c r="D57" s="6">
        <v>6934.8</v>
      </c>
      <c r="E57" s="2"/>
      <c r="F57" s="7">
        <f t="shared" si="20"/>
        <v>1.857213719857034E-2</v>
      </c>
      <c r="G57" s="2"/>
      <c r="H57" s="6">
        <v>12888</v>
      </c>
      <c r="I57" s="2"/>
      <c r="J57" s="7">
        <f t="shared" si="21"/>
        <v>4.8849267715819156E-2</v>
      </c>
      <c r="K57" s="2"/>
      <c r="L57" s="6">
        <f t="shared" si="22"/>
        <v>-5953.2</v>
      </c>
      <c r="M57" s="2"/>
      <c r="N57" s="7">
        <f t="shared" si="23"/>
        <v>-0.46191806331471136</v>
      </c>
      <c r="O57" s="11"/>
      <c r="P57" s="6">
        <v>49232.18</v>
      </c>
      <c r="Q57" s="2"/>
      <c r="R57" s="7">
        <f t="shared" si="24"/>
        <v>2.6413262795858431E-2</v>
      </c>
      <c r="S57" s="2"/>
      <c r="T57" s="6">
        <v>83772</v>
      </c>
      <c r="U57" s="2"/>
      <c r="V57" s="7">
        <f t="shared" si="25"/>
        <v>5.5353362354004614E-2</v>
      </c>
      <c r="W57" s="2"/>
      <c r="X57" s="6">
        <f t="shared" si="26"/>
        <v>-34539.82</v>
      </c>
      <c r="Y57" s="2"/>
      <c r="Z57" s="7">
        <f t="shared" si="27"/>
        <v>-0.41230745356443682</v>
      </c>
    </row>
    <row r="58" spans="1:26" s="24" customFormat="1" hidden="1" outlineLevel="2" x14ac:dyDescent="0.3">
      <c r="A58" s="29"/>
      <c r="B58" s="11" t="str">
        <f>CONCATENATE("          ", "6005", " - ", "TEMPORARY WAGES-HOURLY")</f>
        <v xml:space="preserve">          6005 - TEMPORARY WAGES-HOURLY</v>
      </c>
      <c r="C58" s="11"/>
      <c r="D58" s="6">
        <v>2228.7399999999998</v>
      </c>
      <c r="E58" s="2"/>
      <c r="F58" s="7">
        <f t="shared" si="20"/>
        <v>5.9688044442437636E-3</v>
      </c>
      <c r="G58" s="2"/>
      <c r="H58" s="6">
        <v>0</v>
      </c>
      <c r="I58" s="2"/>
      <c r="J58" s="7">
        <f t="shared" si="21"/>
        <v>0</v>
      </c>
      <c r="K58" s="2"/>
      <c r="L58" s="6">
        <f t="shared" si="22"/>
        <v>2228.7399999999998</v>
      </c>
      <c r="M58" s="2"/>
      <c r="N58" s="7">
        <f t="shared" si="23"/>
        <v>0</v>
      </c>
      <c r="O58" s="11"/>
      <c r="P58" s="6">
        <v>16643</v>
      </c>
      <c r="Q58" s="2"/>
      <c r="R58" s="7">
        <f t="shared" si="24"/>
        <v>8.9290365104992692E-3</v>
      </c>
      <c r="S58" s="2"/>
      <c r="T58" s="6">
        <v>0</v>
      </c>
      <c r="U58" s="2"/>
      <c r="V58" s="7">
        <f t="shared" si="25"/>
        <v>0</v>
      </c>
      <c r="W58" s="2"/>
      <c r="X58" s="6">
        <f t="shared" si="26"/>
        <v>16643</v>
      </c>
      <c r="Y58" s="2"/>
      <c r="Z58" s="7">
        <f t="shared" si="27"/>
        <v>0</v>
      </c>
    </row>
    <row r="59" spans="1:26" s="24" customFormat="1" hidden="1" outlineLevel="2" x14ac:dyDescent="0.3">
      <c r="A59" s="29"/>
      <c r="B59" s="11" t="str">
        <f>CONCATENATE("          ", "6006", " - ", "TEMPORARY PART TIME")</f>
        <v xml:space="preserve">          6006 - TEMPORARY PART TIME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3">
      <c r="A60" s="29"/>
      <c r="B60" s="11" t="str">
        <f>CONCATENATE("          ", "6007", " - ", "STUDENT HOURLY")</f>
        <v xml:space="preserve">          6007 - STUDENT HOURLY</v>
      </c>
      <c r="C60" s="11"/>
      <c r="D60" s="6">
        <v>22155.439999999999</v>
      </c>
      <c r="E60" s="2"/>
      <c r="F60" s="7">
        <f t="shared" si="20"/>
        <v>5.9334641427970986E-2</v>
      </c>
      <c r="G60" s="2"/>
      <c r="H60" s="6">
        <v>27600</v>
      </c>
      <c r="I60" s="2"/>
      <c r="J60" s="7">
        <f t="shared" si="21"/>
        <v>0.10461202583462204</v>
      </c>
      <c r="K60" s="2"/>
      <c r="L60" s="6">
        <f t="shared" si="22"/>
        <v>-5444.5600000000013</v>
      </c>
      <c r="M60" s="2"/>
      <c r="N60" s="7">
        <f t="shared" si="23"/>
        <v>-0.1972666666666667</v>
      </c>
      <c r="O60" s="11"/>
      <c r="P60" s="6">
        <v>125401.52</v>
      </c>
      <c r="Q60" s="2"/>
      <c r="R60" s="7">
        <f t="shared" si="24"/>
        <v>6.7278420390080168E-2</v>
      </c>
      <c r="S60" s="2"/>
      <c r="T60" s="6">
        <v>117300</v>
      </c>
      <c r="U60" s="2"/>
      <c r="V60" s="7">
        <f t="shared" si="25"/>
        <v>7.7507393927860643E-2</v>
      </c>
      <c r="W60" s="2"/>
      <c r="X60" s="6">
        <f t="shared" si="26"/>
        <v>8101.5200000000041</v>
      </c>
      <c r="Y60" s="2"/>
      <c r="Z60" s="7">
        <f t="shared" si="27"/>
        <v>6.9066666666666707E-2</v>
      </c>
    </row>
    <row r="61" spans="1:26" s="24" customFormat="1" hidden="1" outlineLevel="2" x14ac:dyDescent="0.3">
      <c r="A61" s="29"/>
      <c r="B61" s="11" t="str">
        <f>CONCATENATE("          ", "6008", " - ", "STUDENT HOURLY-FICA EXEMPT")</f>
        <v xml:space="preserve">          6008 - STUDENT HOURLY-FICA EXEMPT</v>
      </c>
      <c r="C61" s="11"/>
      <c r="D61" s="6">
        <v>4710.58</v>
      </c>
      <c r="E61" s="2"/>
      <c r="F61" s="7">
        <f t="shared" si="20"/>
        <v>1.2615437798471688E-2</v>
      </c>
      <c r="G61" s="2"/>
      <c r="H61" s="6">
        <v>0</v>
      </c>
      <c r="I61" s="2"/>
      <c r="J61" s="7">
        <f t="shared" si="21"/>
        <v>0</v>
      </c>
      <c r="K61" s="2"/>
      <c r="L61" s="6">
        <f t="shared" si="22"/>
        <v>4710.58</v>
      </c>
      <c r="M61" s="2"/>
      <c r="N61" s="7">
        <f t="shared" si="23"/>
        <v>0</v>
      </c>
      <c r="O61" s="11"/>
      <c r="P61" s="6">
        <v>39074.11</v>
      </c>
      <c r="Q61" s="2"/>
      <c r="R61" s="7">
        <f t="shared" si="24"/>
        <v>2.096341734094001E-2</v>
      </c>
      <c r="S61" s="2"/>
      <c r="T61" s="6">
        <v>62100</v>
      </c>
      <c r="U61" s="2"/>
      <c r="V61" s="7">
        <f t="shared" si="25"/>
        <v>4.103332619710269E-2</v>
      </c>
      <c r="W61" s="2"/>
      <c r="X61" s="6">
        <f t="shared" si="26"/>
        <v>-23025.89</v>
      </c>
      <c r="Y61" s="2"/>
      <c r="Z61" s="7">
        <f t="shared" si="27"/>
        <v>-0.37078727858293076</v>
      </c>
    </row>
    <row r="62" spans="1:26" s="24" customFormat="1" hidden="1" outlineLevel="2" x14ac:dyDescent="0.3">
      <c r="A62" s="29"/>
      <c r="B62" s="11" t="str">
        <f>CONCATENATE("          ", "6009", " - ", "TEMPORARY-SEASONAL")</f>
        <v xml:space="preserve">          6009 - TEMPORARY-SEASONAL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3">
      <c r="A63" s="29"/>
      <c r="B63" s="11" t="str">
        <f>CONCATENATE("          ", "6010", " - ", "GRATUITY")</f>
        <v xml:space="preserve">          6010 - GRATUITY</v>
      </c>
      <c r="C63" s="11"/>
      <c r="D63" s="6"/>
      <c r="E63" s="2"/>
      <c r="F63" s="7">
        <f t="shared" si="20"/>
        <v>0</v>
      </c>
      <c r="G63" s="2"/>
      <c r="H63" s="6">
        <v>0</v>
      </c>
      <c r="I63" s="2"/>
      <c r="J63" s="7">
        <f t="shared" si="21"/>
        <v>0</v>
      </c>
      <c r="K63" s="2"/>
      <c r="L63" s="6">
        <f t="shared" si="22"/>
        <v>0</v>
      </c>
      <c r="M63" s="2"/>
      <c r="N63" s="7">
        <f t="shared" si="23"/>
        <v>0</v>
      </c>
      <c r="O63" s="11"/>
      <c r="P63" s="6"/>
      <c r="Q63" s="2"/>
      <c r="R63" s="7">
        <f t="shared" si="24"/>
        <v>0</v>
      </c>
      <c r="S63" s="2"/>
      <c r="T63" s="6">
        <v>0</v>
      </c>
      <c r="U63" s="2"/>
      <c r="V63" s="7">
        <f t="shared" si="25"/>
        <v>0</v>
      </c>
      <c r="W63" s="2"/>
      <c r="X63" s="6">
        <f t="shared" si="26"/>
        <v>0</v>
      </c>
      <c r="Y63" s="2"/>
      <c r="Z63" s="7">
        <f t="shared" si="27"/>
        <v>0</v>
      </c>
    </row>
    <row r="64" spans="1:26" s="28" customFormat="1" outlineLevel="1" collapsed="1" x14ac:dyDescent="0.3">
      <c r="A64" s="27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158.76</v>
      </c>
      <c r="E64" s="1"/>
      <c r="F64" s="5">
        <f t="shared" ref="F64:F78" si="28">IF(D$12=0,0,D64/D$12)</f>
        <v>4.2517628506157735E-4</v>
      </c>
      <c r="G64" s="1"/>
      <c r="H64" s="1">
        <f>SUM(OSRRefH22_2x_0)</f>
        <v>50</v>
      </c>
      <c r="I64" s="1"/>
      <c r="J64" s="5">
        <f t="shared" ref="J64:J78" si="29">IF(H$12=0,0,H64/H$12)</f>
        <v>1.8951453955547471E-4</v>
      </c>
      <c r="K64" s="1"/>
      <c r="L64" s="1">
        <f t="shared" ref="L64:L78" si="30">+D64-H64</f>
        <v>108.75999999999999</v>
      </c>
      <c r="M64" s="1"/>
      <c r="N64" s="5">
        <f t="shared" ref="N64:N78" si="31">IF(H64=0,0,L64/H64)</f>
        <v>2.1751999999999998</v>
      </c>
      <c r="O64" s="14"/>
      <c r="P64" s="1">
        <f>SUM(OSRRefP22_2x_0)</f>
        <v>2187.21</v>
      </c>
      <c r="Q64" s="1"/>
      <c r="R64" s="5">
        <f t="shared" ref="R64:R78" si="32">IF(P$12=0,0,P64/P$12)</f>
        <v>1.1734469714672299E-3</v>
      </c>
      <c r="S64" s="1"/>
      <c r="T64" s="1">
        <f>SUM(OSRRefT22_2x_0)</f>
        <v>1700</v>
      </c>
      <c r="U64" s="1"/>
      <c r="V64" s="5">
        <f t="shared" ref="V64:V78" si="33">IF(T$12=0,0,T64/T$12)</f>
        <v>1.1232955641718933E-3</v>
      </c>
      <c r="W64" s="1"/>
      <c r="X64" s="1">
        <f t="shared" ref="X64:X78" si="34">+P64-T64</f>
        <v>487.21000000000004</v>
      </c>
      <c r="Y64" s="1"/>
      <c r="Z64" s="5">
        <f t="shared" ref="Z64:Z78" si="35">IF(T64=0,0,X64/T64)</f>
        <v>0.28659411764705883</v>
      </c>
    </row>
    <row r="65" spans="1:26" s="24" customFormat="1" hidden="1" outlineLevel="2" x14ac:dyDescent="0.3">
      <c r="A65" s="29"/>
      <c r="B65" s="11" t="str">
        <f>CONCATENATE("          ", "6362", " - ", "ADVERTISING EXPENSE")</f>
        <v xml:space="preserve">          6362 - ADVERTISING EXPENSE</v>
      </c>
      <c r="C65" s="11"/>
      <c r="D65" s="6">
        <v>158.76</v>
      </c>
      <c r="E65" s="2"/>
      <c r="F65" s="7">
        <f t="shared" si="28"/>
        <v>4.2517628506157735E-4</v>
      </c>
      <c r="G65" s="2"/>
      <c r="H65" s="6">
        <v>50</v>
      </c>
      <c r="I65" s="2"/>
      <c r="J65" s="7">
        <f t="shared" si="29"/>
        <v>1.8951453955547471E-4</v>
      </c>
      <c r="K65" s="2"/>
      <c r="L65" s="6">
        <f t="shared" si="30"/>
        <v>108.75999999999999</v>
      </c>
      <c r="M65" s="2"/>
      <c r="N65" s="7">
        <f t="shared" si="31"/>
        <v>2.1751999999999998</v>
      </c>
      <c r="O65" s="11"/>
      <c r="P65" s="6">
        <v>2187.21</v>
      </c>
      <c r="Q65" s="2"/>
      <c r="R65" s="7">
        <f t="shared" si="32"/>
        <v>1.1734469714672299E-3</v>
      </c>
      <c r="S65" s="2"/>
      <c r="T65" s="6">
        <v>1700</v>
      </c>
      <c r="U65" s="2"/>
      <c r="V65" s="7">
        <f t="shared" si="33"/>
        <v>1.1232955641718933E-3</v>
      </c>
      <c r="W65" s="2"/>
      <c r="X65" s="6">
        <f t="shared" si="34"/>
        <v>487.21000000000004</v>
      </c>
      <c r="Y65" s="2"/>
      <c r="Z65" s="7">
        <f t="shared" si="35"/>
        <v>0.28659411764705883</v>
      </c>
    </row>
    <row r="66" spans="1:26" s="28" customFormat="1" outlineLevel="1" collapsed="1" x14ac:dyDescent="0.3">
      <c r="A66" s="27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0</v>
      </c>
      <c r="E66" s="1"/>
      <c r="F66" s="5">
        <f t="shared" si="28"/>
        <v>0</v>
      </c>
      <c r="G66" s="1"/>
      <c r="H66" s="1">
        <f>SUM(OSRRefH22_3x_0)</f>
        <v>0</v>
      </c>
      <c r="I66" s="1"/>
      <c r="J66" s="5">
        <f t="shared" si="29"/>
        <v>0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SUM(OSRRefP22_3x_0)</f>
        <v>0</v>
      </c>
      <c r="Q66" s="1"/>
      <c r="R66" s="5">
        <f t="shared" si="32"/>
        <v>0</v>
      </c>
      <c r="S66" s="1"/>
      <c r="T66" s="1">
        <f>SUM(OSRRefT22_3x_0)</f>
        <v>0</v>
      </c>
      <c r="U66" s="1"/>
      <c r="V66" s="5">
        <f t="shared" si="33"/>
        <v>0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3">
      <c r="A67" s="29"/>
      <c r="B67" s="11" t="str">
        <f>CONCATENATE("          ", "6272", " - ", "CASH (OVER/SHORT)")</f>
        <v xml:space="preserve">          6272 - CASH (OVER/SHORT)</v>
      </c>
      <c r="C67" s="11"/>
      <c r="D67" s="6"/>
      <c r="E67" s="2"/>
      <c r="F67" s="7">
        <f t="shared" si="28"/>
        <v>0</v>
      </c>
      <c r="G67" s="2"/>
      <c r="H67" s="6">
        <v>0</v>
      </c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/>
      <c r="Q67" s="2"/>
      <c r="R67" s="7">
        <f t="shared" si="32"/>
        <v>0</v>
      </c>
      <c r="S67" s="2"/>
      <c r="T67" s="6">
        <v>0</v>
      </c>
      <c r="U67" s="2"/>
      <c r="V67" s="7">
        <f t="shared" si="33"/>
        <v>0</v>
      </c>
      <c r="W67" s="2"/>
      <c r="X67" s="6">
        <f t="shared" si="34"/>
        <v>0</v>
      </c>
      <c r="Y67" s="2"/>
      <c r="Z67" s="7">
        <f t="shared" si="35"/>
        <v>0</v>
      </c>
    </row>
    <row r="68" spans="1:26" s="28" customFormat="1" outlineLevel="1" collapsed="1" x14ac:dyDescent="0.3">
      <c r="A68" s="27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0</v>
      </c>
      <c r="E68" s="1"/>
      <c r="F68" s="5">
        <f t="shared" si="28"/>
        <v>0</v>
      </c>
      <c r="G68" s="1"/>
      <c r="H68" s="1">
        <f>SUM(OSRRefH22_4x_0)</f>
        <v>0</v>
      </c>
      <c r="I68" s="1"/>
      <c r="J68" s="5">
        <f t="shared" si="29"/>
        <v>0</v>
      </c>
      <c r="K68" s="1"/>
      <c r="L68" s="1">
        <f t="shared" si="30"/>
        <v>0</v>
      </c>
      <c r="M68" s="1"/>
      <c r="N68" s="5">
        <f t="shared" si="31"/>
        <v>0</v>
      </c>
      <c r="O68" s="14"/>
      <c r="P68" s="1">
        <f>SUM(OSRRefP22_4x_0)</f>
        <v>0</v>
      </c>
      <c r="Q68" s="1"/>
      <c r="R68" s="5">
        <f t="shared" si="32"/>
        <v>0</v>
      </c>
      <c r="S68" s="1"/>
      <c r="T68" s="1">
        <f>SUM(OSRRefT22_4x_0)</f>
        <v>0</v>
      </c>
      <c r="U68" s="1"/>
      <c r="V68" s="5">
        <f t="shared" si="33"/>
        <v>0</v>
      </c>
      <c r="W68" s="1"/>
      <c r="X68" s="1">
        <f t="shared" si="34"/>
        <v>0</v>
      </c>
      <c r="Y68" s="1"/>
      <c r="Z68" s="5">
        <f t="shared" si="35"/>
        <v>0</v>
      </c>
    </row>
    <row r="69" spans="1:26" s="24" customFormat="1" hidden="1" outlineLevel="2" x14ac:dyDescent="0.3">
      <c r="A69" s="29"/>
      <c r="B69" s="11" t="str">
        <f>CONCATENATE("          ", "6381", " - ", "BANK/CREDIT CARD FEES")</f>
        <v xml:space="preserve">          6381 - BANK/CREDIT CARD FEES</v>
      </c>
      <c r="C69" s="11"/>
      <c r="D69" s="6"/>
      <c r="E69" s="2"/>
      <c r="F69" s="7">
        <f t="shared" si="28"/>
        <v>0</v>
      </c>
      <c r="G69" s="2"/>
      <c r="H69" s="6">
        <v>0</v>
      </c>
      <c r="I69" s="2"/>
      <c r="J69" s="7">
        <f t="shared" si="29"/>
        <v>0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/>
      <c r="Q69" s="2"/>
      <c r="R69" s="7">
        <f t="shared" si="32"/>
        <v>0</v>
      </c>
      <c r="S69" s="2"/>
      <c r="T69" s="6">
        <v>0</v>
      </c>
      <c r="U69" s="2"/>
      <c r="V69" s="7">
        <f t="shared" si="33"/>
        <v>0</v>
      </c>
      <c r="W69" s="2"/>
      <c r="X69" s="6">
        <f t="shared" si="34"/>
        <v>0</v>
      </c>
      <c r="Y69" s="2"/>
      <c r="Z69" s="7">
        <f t="shared" si="35"/>
        <v>0</v>
      </c>
    </row>
    <row r="70" spans="1:26" s="28" customFormat="1" outlineLevel="1" collapsed="1" x14ac:dyDescent="0.3">
      <c r="A70" s="27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0</v>
      </c>
      <c r="E70" s="1"/>
      <c r="F70" s="5">
        <f t="shared" si="28"/>
        <v>0</v>
      </c>
      <c r="G70" s="1"/>
      <c r="H70" s="1">
        <f>SUM(OSRRefH22_5x_0)</f>
        <v>0</v>
      </c>
      <c r="I70" s="1"/>
      <c r="J70" s="5">
        <f t="shared" si="29"/>
        <v>0</v>
      </c>
      <c r="K70" s="1"/>
      <c r="L70" s="1">
        <f t="shared" si="30"/>
        <v>0</v>
      </c>
      <c r="M70" s="1"/>
      <c r="N70" s="5">
        <f t="shared" si="31"/>
        <v>0</v>
      </c>
      <c r="O70" s="14"/>
      <c r="P70" s="1">
        <f>SUM(OSRRefP22_5x_0)</f>
        <v>0</v>
      </c>
      <c r="Q70" s="1"/>
      <c r="R70" s="5">
        <f t="shared" si="32"/>
        <v>0</v>
      </c>
      <c r="S70" s="1"/>
      <c r="T70" s="1">
        <f>SUM(OSRRefT22_5x_0)</f>
        <v>0</v>
      </c>
      <c r="U70" s="1"/>
      <c r="V70" s="5">
        <f t="shared" si="33"/>
        <v>0</v>
      </c>
      <c r="W70" s="1"/>
      <c r="X70" s="1">
        <f t="shared" si="34"/>
        <v>0</v>
      </c>
      <c r="Y70" s="1"/>
      <c r="Z70" s="5">
        <f t="shared" si="35"/>
        <v>0</v>
      </c>
    </row>
    <row r="71" spans="1:26" s="24" customFormat="1" hidden="1" outlineLevel="2" x14ac:dyDescent="0.3">
      <c r="A71" s="29"/>
      <c r="B71" s="11" t="str">
        <f>CONCATENATE("          ", "9175", " - ", "EARNED DISCOUNTS")</f>
        <v xml:space="preserve">          9175 - EARNED DISCOUNTS</v>
      </c>
      <c r="C71" s="11"/>
      <c r="D71" s="6"/>
      <c r="E71" s="2"/>
      <c r="F71" s="7">
        <f t="shared" si="28"/>
        <v>0</v>
      </c>
      <c r="G71" s="2"/>
      <c r="H71" s="6"/>
      <c r="I71" s="2"/>
      <c r="J71" s="7">
        <f t="shared" si="29"/>
        <v>0</v>
      </c>
      <c r="K71" s="2"/>
      <c r="L71" s="6">
        <f t="shared" si="30"/>
        <v>0</v>
      </c>
      <c r="M71" s="2"/>
      <c r="N71" s="7">
        <f t="shared" si="31"/>
        <v>0</v>
      </c>
      <c r="O71" s="11"/>
      <c r="P71" s="6">
        <v>0</v>
      </c>
      <c r="Q71" s="2"/>
      <c r="R71" s="7">
        <f t="shared" si="32"/>
        <v>0</v>
      </c>
      <c r="S71" s="2"/>
      <c r="T71" s="6"/>
      <c r="U71" s="2"/>
      <c r="V71" s="7">
        <f t="shared" si="33"/>
        <v>0</v>
      </c>
      <c r="W71" s="2"/>
      <c r="X71" s="6">
        <f t="shared" si="34"/>
        <v>0</v>
      </c>
      <c r="Y71" s="2"/>
      <c r="Z71" s="7">
        <f t="shared" si="35"/>
        <v>0</v>
      </c>
    </row>
    <row r="72" spans="1:26" s="28" customFormat="1" outlineLevel="1" collapsed="1" x14ac:dyDescent="0.3">
      <c r="A72" s="27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SUM(OSRRefD22_6x_0)</f>
        <v>0</v>
      </c>
      <c r="E72" s="1"/>
      <c r="F72" s="5">
        <f t="shared" si="28"/>
        <v>0</v>
      </c>
      <c r="G72" s="1"/>
      <c r="H72" s="1">
        <f>SUM(OSRRefH22_6x_0)</f>
        <v>50</v>
      </c>
      <c r="I72" s="1"/>
      <c r="J72" s="5">
        <f t="shared" si="29"/>
        <v>1.8951453955547471E-4</v>
      </c>
      <c r="K72" s="1"/>
      <c r="L72" s="1">
        <f t="shared" si="30"/>
        <v>-50</v>
      </c>
      <c r="M72" s="1"/>
      <c r="N72" s="5">
        <f t="shared" si="31"/>
        <v>-1</v>
      </c>
      <c r="O72" s="14"/>
      <c r="P72" s="1">
        <f>SUM(OSRRefP22_6x_0)</f>
        <v>216.44</v>
      </c>
      <c r="Q72" s="1"/>
      <c r="R72" s="5">
        <f t="shared" si="32"/>
        <v>1.1612093146262463E-4</v>
      </c>
      <c r="S72" s="1"/>
      <c r="T72" s="1">
        <f>SUM(OSRRefT22_6x_0)</f>
        <v>300</v>
      </c>
      <c r="U72" s="1"/>
      <c r="V72" s="5">
        <f t="shared" si="33"/>
        <v>1.9822862897151059E-4</v>
      </c>
      <c r="W72" s="1"/>
      <c r="X72" s="1">
        <f t="shared" si="34"/>
        <v>-83.56</v>
      </c>
      <c r="Y72" s="1"/>
      <c r="Z72" s="5">
        <f t="shared" si="35"/>
        <v>-0.27853333333333335</v>
      </c>
    </row>
    <row r="73" spans="1:26" s="24" customFormat="1" hidden="1" outlineLevel="2" x14ac:dyDescent="0.3">
      <c r="A73" s="29"/>
      <c r="B73" s="11" t="str">
        <f>CONCATENATE("          ", "6277", " - ", "EMPLOYEE APPRECIATION")</f>
        <v xml:space="preserve">          6277 - EMPLOYEE APPRECIATION</v>
      </c>
      <c r="C73" s="11"/>
      <c r="D73" s="6"/>
      <c r="E73" s="2"/>
      <c r="F73" s="7">
        <f t="shared" si="28"/>
        <v>0</v>
      </c>
      <c r="G73" s="2"/>
      <c r="H73" s="6">
        <v>50</v>
      </c>
      <c r="I73" s="2"/>
      <c r="J73" s="7">
        <f t="shared" si="29"/>
        <v>1.8951453955547471E-4</v>
      </c>
      <c r="K73" s="2"/>
      <c r="L73" s="6">
        <f t="shared" si="30"/>
        <v>-50</v>
      </c>
      <c r="M73" s="2"/>
      <c r="N73" s="7">
        <f t="shared" si="31"/>
        <v>-1</v>
      </c>
      <c r="O73" s="11"/>
      <c r="P73" s="6">
        <v>216.44</v>
      </c>
      <c r="Q73" s="2"/>
      <c r="R73" s="7">
        <f t="shared" si="32"/>
        <v>1.1612093146262463E-4</v>
      </c>
      <c r="S73" s="2"/>
      <c r="T73" s="6">
        <v>300</v>
      </c>
      <c r="U73" s="2"/>
      <c r="V73" s="7">
        <f t="shared" si="33"/>
        <v>1.9822862897151059E-4</v>
      </c>
      <c r="W73" s="2"/>
      <c r="X73" s="6">
        <f t="shared" si="34"/>
        <v>-83.56</v>
      </c>
      <c r="Y73" s="2"/>
      <c r="Z73" s="7">
        <f t="shared" si="35"/>
        <v>-0.27853333333333335</v>
      </c>
    </row>
    <row r="74" spans="1:26" s="28" customFormat="1" outlineLevel="1" collapsed="1" x14ac:dyDescent="0.3">
      <c r="A74" s="27"/>
      <c r="B74" s="14" t="str">
        <f>CONCATENATE("     ","Equipment Rental                                  ")</f>
        <v xml:space="preserve">     Equipment Rental                                  </v>
      </c>
      <c r="C74" s="14"/>
      <c r="D74" s="1">
        <f>SUM(OSRRefD22_7x_0)</f>
        <v>118.91</v>
      </c>
      <c r="E74" s="1"/>
      <c r="F74" s="5">
        <f t="shared" si="28"/>
        <v>3.1845371665830286E-4</v>
      </c>
      <c r="G74" s="1"/>
      <c r="H74" s="1">
        <f>SUM(OSRRefH22_7x_0)</f>
        <v>0</v>
      </c>
      <c r="I74" s="1"/>
      <c r="J74" s="5">
        <f t="shared" si="29"/>
        <v>0</v>
      </c>
      <c r="K74" s="1"/>
      <c r="L74" s="1">
        <f t="shared" si="30"/>
        <v>118.91</v>
      </c>
      <c r="M74" s="1"/>
      <c r="N74" s="5">
        <f t="shared" si="31"/>
        <v>0</v>
      </c>
      <c r="O74" s="14"/>
      <c r="P74" s="1">
        <f>SUM(OSRRefP22_7x_0)</f>
        <v>118.91</v>
      </c>
      <c r="Q74" s="1"/>
      <c r="R74" s="5">
        <f t="shared" si="32"/>
        <v>6.3795693772965693E-5</v>
      </c>
      <c r="S74" s="1"/>
      <c r="T74" s="1">
        <f>SUM(OSRRefT22_7x_0)</f>
        <v>0</v>
      </c>
      <c r="U74" s="1"/>
      <c r="V74" s="5">
        <f t="shared" si="33"/>
        <v>0</v>
      </c>
      <c r="W74" s="1"/>
      <c r="X74" s="1">
        <f t="shared" si="34"/>
        <v>118.91</v>
      </c>
      <c r="Y74" s="1"/>
      <c r="Z74" s="5">
        <f t="shared" si="35"/>
        <v>0</v>
      </c>
    </row>
    <row r="75" spans="1:26" s="24" customFormat="1" hidden="1" outlineLevel="2" x14ac:dyDescent="0.3">
      <c r="A75" s="29"/>
      <c r="B75" s="11" t="str">
        <f>CONCATENATE("          ", "6351", " - ", "EQUIPMENT RENTAL")</f>
        <v xml:space="preserve">          6351 - EQUIPMENT RENTAL</v>
      </c>
      <c r="C75" s="11"/>
      <c r="D75" s="6">
        <v>118.91</v>
      </c>
      <c r="E75" s="2"/>
      <c r="F75" s="7">
        <f t="shared" si="28"/>
        <v>3.1845371665830286E-4</v>
      </c>
      <c r="G75" s="2"/>
      <c r="H75" s="6"/>
      <c r="I75" s="2"/>
      <c r="J75" s="7">
        <f t="shared" si="29"/>
        <v>0</v>
      </c>
      <c r="K75" s="2"/>
      <c r="L75" s="6">
        <f t="shared" si="30"/>
        <v>118.91</v>
      </c>
      <c r="M75" s="2"/>
      <c r="N75" s="7">
        <f t="shared" si="31"/>
        <v>0</v>
      </c>
      <c r="O75" s="11"/>
      <c r="P75" s="6">
        <v>118.91</v>
      </c>
      <c r="Q75" s="2"/>
      <c r="R75" s="7">
        <f t="shared" si="32"/>
        <v>6.3795693772965693E-5</v>
      </c>
      <c r="S75" s="2"/>
      <c r="T75" s="6"/>
      <c r="U75" s="2"/>
      <c r="V75" s="7">
        <f t="shared" si="33"/>
        <v>0</v>
      </c>
      <c r="W75" s="2"/>
      <c r="X75" s="6">
        <f t="shared" si="34"/>
        <v>118.91</v>
      </c>
      <c r="Y75" s="2"/>
      <c r="Z75" s="7">
        <f t="shared" si="35"/>
        <v>0</v>
      </c>
    </row>
    <row r="76" spans="1:26" s="28" customFormat="1" outlineLevel="1" collapsed="1" x14ac:dyDescent="0.3">
      <c r="A76" s="27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SUM(OSRRefD22_8x_0)</f>
        <v>0</v>
      </c>
      <c r="E76" s="1"/>
      <c r="F76" s="5">
        <f t="shared" si="28"/>
        <v>0</v>
      </c>
      <c r="G76" s="1"/>
      <c r="H76" s="1">
        <f>SUM(OSRRefH22_8x_0)</f>
        <v>50</v>
      </c>
      <c r="I76" s="1"/>
      <c r="J76" s="5">
        <f t="shared" si="29"/>
        <v>1.8951453955547471E-4</v>
      </c>
      <c r="K76" s="1"/>
      <c r="L76" s="1">
        <f t="shared" si="30"/>
        <v>-50</v>
      </c>
      <c r="M76" s="1"/>
      <c r="N76" s="5">
        <f t="shared" si="31"/>
        <v>-1</v>
      </c>
      <c r="O76" s="14"/>
      <c r="P76" s="1">
        <f>SUM(OSRRefP22_8x_0)</f>
        <v>929.29</v>
      </c>
      <c r="Q76" s="1"/>
      <c r="R76" s="5">
        <f t="shared" si="32"/>
        <v>4.9856782664434694E-4</v>
      </c>
      <c r="S76" s="1"/>
      <c r="T76" s="1">
        <f>SUM(OSRRefT22_8x_0)</f>
        <v>300</v>
      </c>
      <c r="U76" s="1"/>
      <c r="V76" s="5">
        <f t="shared" si="33"/>
        <v>1.9822862897151059E-4</v>
      </c>
      <c r="W76" s="1"/>
      <c r="X76" s="1">
        <f t="shared" si="34"/>
        <v>629.29</v>
      </c>
      <c r="Y76" s="1"/>
      <c r="Z76" s="5">
        <f t="shared" si="35"/>
        <v>2.097633333333333</v>
      </c>
    </row>
    <row r="77" spans="1:26" s="24" customFormat="1" hidden="1" outlineLevel="2" x14ac:dyDescent="0.3">
      <c r="A77" s="29"/>
      <c r="B77" s="11" t="str">
        <f>CONCATENATE("          ", "6305", " - ", "FREIGHT OUT")</f>
        <v xml:space="preserve">          6305 - FREIGHT OUT</v>
      </c>
      <c r="C77" s="11"/>
      <c r="D77" s="6"/>
      <c r="E77" s="2"/>
      <c r="F77" s="7">
        <f t="shared" si="28"/>
        <v>0</v>
      </c>
      <c r="G77" s="2"/>
      <c r="H77" s="6">
        <v>50</v>
      </c>
      <c r="I77" s="2"/>
      <c r="J77" s="7">
        <f t="shared" si="29"/>
        <v>1.8951453955547471E-4</v>
      </c>
      <c r="K77" s="2"/>
      <c r="L77" s="6">
        <f t="shared" si="30"/>
        <v>-50</v>
      </c>
      <c r="M77" s="2"/>
      <c r="N77" s="7">
        <f t="shared" si="31"/>
        <v>-1</v>
      </c>
      <c r="O77" s="11"/>
      <c r="P77" s="6">
        <v>893.87</v>
      </c>
      <c r="Q77" s="2"/>
      <c r="R77" s="7">
        <f t="shared" si="32"/>
        <v>4.7956485403112309E-4</v>
      </c>
      <c r="S77" s="2"/>
      <c r="T77" s="6">
        <v>300</v>
      </c>
      <c r="U77" s="2"/>
      <c r="V77" s="7">
        <f t="shared" si="33"/>
        <v>1.9822862897151059E-4</v>
      </c>
      <c r="W77" s="2"/>
      <c r="X77" s="6">
        <f t="shared" si="34"/>
        <v>593.87</v>
      </c>
      <c r="Y77" s="2"/>
      <c r="Z77" s="7">
        <f t="shared" si="35"/>
        <v>1.9795666666666667</v>
      </c>
    </row>
    <row r="78" spans="1:26" s="24" customFormat="1" hidden="1" outlineLevel="2" x14ac:dyDescent="0.3">
      <c r="A78" s="29"/>
      <c r="B78" s="11" t="str">
        <f>CONCATENATE("          ", "6307", " - ", "POSTAGE")</f>
        <v xml:space="preserve">          6307 - POSTAGE</v>
      </c>
      <c r="C78" s="11"/>
      <c r="D78" s="6"/>
      <c r="E78" s="2"/>
      <c r="F78" s="7">
        <f t="shared" si="28"/>
        <v>0</v>
      </c>
      <c r="G78" s="2"/>
      <c r="H78" s="6"/>
      <c r="I78" s="2"/>
      <c r="J78" s="7">
        <f t="shared" si="29"/>
        <v>0</v>
      </c>
      <c r="K78" s="2"/>
      <c r="L78" s="6">
        <f t="shared" si="30"/>
        <v>0</v>
      </c>
      <c r="M78" s="2"/>
      <c r="N78" s="7">
        <f t="shared" si="31"/>
        <v>0</v>
      </c>
      <c r="O78" s="11"/>
      <c r="P78" s="6">
        <v>35.42</v>
      </c>
      <c r="Q78" s="2"/>
      <c r="R78" s="7">
        <f t="shared" si="32"/>
        <v>1.9002972613223825E-5</v>
      </c>
      <c r="S78" s="2"/>
      <c r="T78" s="6"/>
      <c r="U78" s="2"/>
      <c r="V78" s="7">
        <f t="shared" si="33"/>
        <v>0</v>
      </c>
      <c r="W78" s="2"/>
      <c r="X78" s="6">
        <f t="shared" si="34"/>
        <v>35.42</v>
      </c>
      <c r="Y78" s="2"/>
      <c r="Z78" s="7">
        <f t="shared" si="35"/>
        <v>0</v>
      </c>
    </row>
    <row r="79" spans="1:26" s="28" customFormat="1" outlineLevel="1" collapsed="1" x14ac:dyDescent="0.3">
      <c r="A79" s="27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SUM(OSRRefD22_9x_0)</f>
        <v>0</v>
      </c>
      <c r="E79" s="1"/>
      <c r="F79" s="5">
        <f t="shared" ref="F79:F87" si="36">IF(D$12=0,0,D79/D$12)</f>
        <v>0</v>
      </c>
      <c r="G79" s="1"/>
      <c r="H79" s="1">
        <f>SUM(OSRRefH22_9x_0)</f>
        <v>0</v>
      </c>
      <c r="I79" s="1"/>
      <c r="J79" s="5">
        <f t="shared" ref="J79:J87" si="37">IF(H$12=0,0,H79/H$12)</f>
        <v>0</v>
      </c>
      <c r="K79" s="1"/>
      <c r="L79" s="1">
        <f t="shared" ref="L79:L87" si="38">+D79-H79</f>
        <v>0</v>
      </c>
      <c r="M79" s="1"/>
      <c r="N79" s="5">
        <f t="shared" ref="N79:N87" si="39">IF(H79=0,0,L79/H79)</f>
        <v>0</v>
      </c>
      <c r="O79" s="14"/>
      <c r="P79" s="1">
        <f>SUM(OSRRefP22_9x_0)</f>
        <v>0</v>
      </c>
      <c r="Q79" s="1"/>
      <c r="R79" s="5">
        <f t="shared" ref="R79:R87" si="40">IF(P$12=0,0,P79/P$12)</f>
        <v>0</v>
      </c>
      <c r="S79" s="1"/>
      <c r="T79" s="1">
        <f>SUM(OSRRefT22_9x_0)</f>
        <v>0</v>
      </c>
      <c r="U79" s="1"/>
      <c r="V79" s="5">
        <f t="shared" ref="V79:V87" si="41">IF(T$12=0,0,T79/T$12)</f>
        <v>0</v>
      </c>
      <c r="W79" s="1"/>
      <c r="X79" s="1">
        <f t="shared" ref="X79:X87" si="42">+P79-T79</f>
        <v>0</v>
      </c>
      <c r="Y79" s="1"/>
      <c r="Z79" s="5">
        <f t="shared" ref="Z79:Z87" si="43">IF(T79=0,0,X79/T79)</f>
        <v>0</v>
      </c>
    </row>
    <row r="80" spans="1:26" s="24" customFormat="1" hidden="1" outlineLevel="2" x14ac:dyDescent="0.3">
      <c r="A80" s="29"/>
      <c r="B80" s="11" t="str">
        <f>CONCATENATE("          ", "6279", " - ", "GENERAL EXPENSE")</f>
        <v xml:space="preserve">          6279 - GENERAL EXPENSE</v>
      </c>
      <c r="C80" s="11"/>
      <c r="D80" s="6"/>
      <c r="E80" s="2"/>
      <c r="F80" s="7">
        <f t="shared" si="36"/>
        <v>0</v>
      </c>
      <c r="G80" s="2"/>
      <c r="H80" s="6">
        <v>0</v>
      </c>
      <c r="I80" s="2"/>
      <c r="J80" s="7">
        <f t="shared" si="37"/>
        <v>0</v>
      </c>
      <c r="K80" s="2"/>
      <c r="L80" s="6">
        <f t="shared" si="38"/>
        <v>0</v>
      </c>
      <c r="M80" s="2"/>
      <c r="N80" s="7">
        <f t="shared" si="39"/>
        <v>0</v>
      </c>
      <c r="O80" s="11"/>
      <c r="P80" s="6"/>
      <c r="Q80" s="2"/>
      <c r="R80" s="7">
        <f t="shared" si="40"/>
        <v>0</v>
      </c>
      <c r="S80" s="2"/>
      <c r="T80" s="6">
        <v>0</v>
      </c>
      <c r="U80" s="2"/>
      <c r="V80" s="7">
        <f t="shared" si="41"/>
        <v>0</v>
      </c>
      <c r="W80" s="2"/>
      <c r="X80" s="6">
        <f t="shared" si="42"/>
        <v>0</v>
      </c>
      <c r="Y80" s="2"/>
      <c r="Z80" s="7">
        <f t="shared" si="43"/>
        <v>0</v>
      </c>
    </row>
    <row r="81" spans="1:26" s="28" customFormat="1" outlineLevel="1" collapsed="1" x14ac:dyDescent="0.3">
      <c r="A81" s="27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SUM(OSRRefD22_10x_0)</f>
        <v>3350</v>
      </c>
      <c r="E81" s="1"/>
      <c r="F81" s="5">
        <f t="shared" si="36"/>
        <v>8.9716588243656092E-3</v>
      </c>
      <c r="G81" s="1"/>
      <c r="H81" s="1">
        <f>SUM(OSRRefH22_10x_0)</f>
        <v>3350</v>
      </c>
      <c r="I81" s="1"/>
      <c r="J81" s="5">
        <f t="shared" si="37"/>
        <v>1.2697474150216805E-2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SUM(OSRRefP22_10x_0)</f>
        <v>20100</v>
      </c>
      <c r="Q81" s="1"/>
      <c r="R81" s="5">
        <f t="shared" si="40"/>
        <v>1.0783730929582125E-2</v>
      </c>
      <c r="S81" s="1"/>
      <c r="T81" s="1">
        <f>SUM(OSRRefT22_10x_0)</f>
        <v>20100</v>
      </c>
      <c r="U81" s="1"/>
      <c r="V81" s="5">
        <f t="shared" si="41"/>
        <v>1.3281318141091208E-2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3">
      <c r="A82" s="29"/>
      <c r="B82" s="11" t="str">
        <f>CONCATENATE("          ", "6408", " - ", "INVENTORY ADJUSTMENT")</f>
        <v xml:space="preserve">          6408 - INVENTORY ADJUSTMENT</v>
      </c>
      <c r="C82" s="11"/>
      <c r="D82" s="6">
        <v>3350</v>
      </c>
      <c r="E82" s="2"/>
      <c r="F82" s="7">
        <f t="shared" si="36"/>
        <v>8.9716588243656092E-3</v>
      </c>
      <c r="G82" s="2"/>
      <c r="H82" s="6">
        <v>3350</v>
      </c>
      <c r="I82" s="2"/>
      <c r="J82" s="7">
        <f t="shared" si="37"/>
        <v>1.2697474150216805E-2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>
        <v>20100</v>
      </c>
      <c r="Q82" s="2"/>
      <c r="R82" s="7">
        <f t="shared" si="40"/>
        <v>1.0783730929582125E-2</v>
      </c>
      <c r="S82" s="2"/>
      <c r="T82" s="6">
        <v>20100</v>
      </c>
      <c r="U82" s="2"/>
      <c r="V82" s="7">
        <f t="shared" si="41"/>
        <v>1.3281318141091208E-2</v>
      </c>
      <c r="W82" s="2"/>
      <c r="X82" s="6">
        <f t="shared" si="42"/>
        <v>0</v>
      </c>
      <c r="Y82" s="2"/>
      <c r="Z82" s="7">
        <f t="shared" si="43"/>
        <v>0</v>
      </c>
    </row>
    <row r="83" spans="1:26" s="28" customFormat="1" outlineLevel="1" collapsed="1" x14ac:dyDescent="0.3">
      <c r="A83" s="27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SUM(OSRRefD22_11x_0)</f>
        <v>0</v>
      </c>
      <c r="E83" s="1"/>
      <c r="F83" s="5">
        <f t="shared" si="36"/>
        <v>0</v>
      </c>
      <c r="G83" s="1"/>
      <c r="H83" s="1">
        <f>SUM(OSRRefH22_11x_0)</f>
        <v>0</v>
      </c>
      <c r="I83" s="1"/>
      <c r="J83" s="5">
        <f t="shared" si="37"/>
        <v>0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SUM(OSRRefP22_11x_0)</f>
        <v>507.64</v>
      </c>
      <c r="Q83" s="1"/>
      <c r="R83" s="5">
        <f t="shared" si="40"/>
        <v>2.7235090393497861E-4</v>
      </c>
      <c r="S83" s="1"/>
      <c r="T83" s="1">
        <f>SUM(OSRRefT22_11x_0)</f>
        <v>500</v>
      </c>
      <c r="U83" s="1"/>
      <c r="V83" s="5">
        <f t="shared" si="41"/>
        <v>3.3038104828585099E-4</v>
      </c>
      <c r="W83" s="1"/>
      <c r="X83" s="1">
        <f t="shared" si="42"/>
        <v>7.6399999999999864</v>
      </c>
      <c r="Y83" s="1"/>
      <c r="Z83" s="5">
        <f t="shared" si="43"/>
        <v>1.5279999999999972E-2</v>
      </c>
    </row>
    <row r="84" spans="1:26" s="24" customFormat="1" hidden="1" outlineLevel="2" x14ac:dyDescent="0.3">
      <c r="A84" s="29"/>
      <c r="B84" s="11" t="str">
        <f>CONCATENATE("          ", "6336", " - ", "PROFESSIONAL SERVICES")</f>
        <v xml:space="preserve">          6336 - PROFESSIONAL SERVICES</v>
      </c>
      <c r="C84" s="11"/>
      <c r="D84" s="6"/>
      <c r="E84" s="2"/>
      <c r="F84" s="7">
        <f t="shared" si="36"/>
        <v>0</v>
      </c>
      <c r="G84" s="2"/>
      <c r="H84" s="6">
        <v>0</v>
      </c>
      <c r="I84" s="2"/>
      <c r="J84" s="7">
        <f t="shared" si="37"/>
        <v>0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>
        <v>507.64</v>
      </c>
      <c r="Q84" s="2"/>
      <c r="R84" s="7">
        <f t="shared" si="40"/>
        <v>2.7235090393497861E-4</v>
      </c>
      <c r="S84" s="2"/>
      <c r="T84" s="6">
        <v>500</v>
      </c>
      <c r="U84" s="2"/>
      <c r="V84" s="7">
        <f t="shared" si="41"/>
        <v>3.3038104828585099E-4</v>
      </c>
      <c r="W84" s="2"/>
      <c r="X84" s="6">
        <f t="shared" si="42"/>
        <v>7.6399999999999864</v>
      </c>
      <c r="Y84" s="2"/>
      <c r="Z84" s="7">
        <f t="shared" si="43"/>
        <v>1.5279999999999972E-2</v>
      </c>
    </row>
    <row r="85" spans="1:26" s="28" customFormat="1" outlineLevel="1" collapsed="1" x14ac:dyDescent="0.3">
      <c r="A85" s="27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SUM(OSRRefD22_12x_0)</f>
        <v>1675.05</v>
      </c>
      <c r="E85" s="1"/>
      <c r="F85" s="5">
        <f t="shared" si="36"/>
        <v>4.4859633175383922E-3</v>
      </c>
      <c r="G85" s="1"/>
      <c r="H85" s="1">
        <f>SUM(OSRRefH22_12x_0)</f>
        <v>0</v>
      </c>
      <c r="I85" s="1"/>
      <c r="J85" s="5">
        <f t="shared" si="37"/>
        <v>0</v>
      </c>
      <c r="K85" s="1"/>
      <c r="L85" s="1">
        <f t="shared" si="38"/>
        <v>1675.05</v>
      </c>
      <c r="M85" s="1"/>
      <c r="N85" s="5">
        <f t="shared" si="39"/>
        <v>0</v>
      </c>
      <c r="O85" s="14"/>
      <c r="P85" s="1">
        <f>SUM(OSRRefP22_12x_0)</f>
        <v>1684.29</v>
      </c>
      <c r="Q85" s="1"/>
      <c r="R85" s="5">
        <f t="shared" si="40"/>
        <v>9.0362836653661081E-4</v>
      </c>
      <c r="S85" s="1"/>
      <c r="T85" s="1">
        <f>SUM(OSRRefT22_12x_0)</f>
        <v>0</v>
      </c>
      <c r="U85" s="1"/>
      <c r="V85" s="5">
        <f t="shared" si="41"/>
        <v>0</v>
      </c>
      <c r="W85" s="1"/>
      <c r="X85" s="1">
        <f t="shared" si="42"/>
        <v>1684.29</v>
      </c>
      <c r="Y85" s="1"/>
      <c r="Z85" s="5">
        <f t="shared" si="43"/>
        <v>0</v>
      </c>
    </row>
    <row r="86" spans="1:26" s="24" customFormat="1" hidden="1" outlineLevel="2" x14ac:dyDescent="0.3">
      <c r="A86" s="29"/>
      <c r="B86" s="11" t="str">
        <f>CONCATENATE("          ", "6373", " - ", "MAINTENANCE CONTRACTS")</f>
        <v xml:space="preserve">          6373 - MAINTENANCE CONTRACTS</v>
      </c>
      <c r="C86" s="11"/>
      <c r="D86" s="6"/>
      <c r="E86" s="2"/>
      <c r="F86" s="7">
        <f t="shared" si="36"/>
        <v>0</v>
      </c>
      <c r="G86" s="2"/>
      <c r="H86" s="6"/>
      <c r="I86" s="2"/>
      <c r="J86" s="7">
        <f t="shared" si="37"/>
        <v>0</v>
      </c>
      <c r="K86" s="2"/>
      <c r="L86" s="6">
        <f t="shared" si="38"/>
        <v>0</v>
      </c>
      <c r="M86" s="2"/>
      <c r="N86" s="7">
        <f t="shared" si="39"/>
        <v>0</v>
      </c>
      <c r="O86" s="11"/>
      <c r="P86" s="6">
        <v>5.7</v>
      </c>
      <c r="Q86" s="2"/>
      <c r="R86" s="7">
        <f t="shared" si="40"/>
        <v>3.0580729501800059E-6</v>
      </c>
      <c r="S86" s="2"/>
      <c r="T86" s="6"/>
      <c r="U86" s="2"/>
      <c r="V86" s="7">
        <f t="shared" si="41"/>
        <v>0</v>
      </c>
      <c r="W86" s="2"/>
      <c r="X86" s="6">
        <f t="shared" si="42"/>
        <v>5.7</v>
      </c>
      <c r="Y86" s="2"/>
      <c r="Z86" s="7">
        <f t="shared" si="43"/>
        <v>0</v>
      </c>
    </row>
    <row r="87" spans="1:26" s="24" customFormat="1" hidden="1" outlineLevel="2" x14ac:dyDescent="0.3">
      <c r="A87" s="29"/>
      <c r="B87" s="11" t="str">
        <f>CONCATENATE("          ", "6375", " - ", "OUTSIDE REPAIRS &amp; MAINTENANCE")</f>
        <v xml:space="preserve">          6375 - OUTSIDE REPAIRS &amp; MAINTENANCE</v>
      </c>
      <c r="C87" s="11"/>
      <c r="D87" s="6">
        <v>1675.05</v>
      </c>
      <c r="E87" s="2"/>
      <c r="F87" s="7">
        <f t="shared" si="36"/>
        <v>4.4859633175383922E-3</v>
      </c>
      <c r="G87" s="2"/>
      <c r="H87" s="6">
        <v>0</v>
      </c>
      <c r="I87" s="2"/>
      <c r="J87" s="7">
        <f t="shared" si="37"/>
        <v>0</v>
      </c>
      <c r="K87" s="2"/>
      <c r="L87" s="6">
        <f t="shared" si="38"/>
        <v>1675.05</v>
      </c>
      <c r="M87" s="2"/>
      <c r="N87" s="7">
        <f t="shared" si="39"/>
        <v>0</v>
      </c>
      <c r="O87" s="11"/>
      <c r="P87" s="6">
        <v>1678.59</v>
      </c>
      <c r="Q87" s="2"/>
      <c r="R87" s="7">
        <f t="shared" si="40"/>
        <v>9.0057029358643073E-4</v>
      </c>
      <c r="S87" s="2"/>
      <c r="T87" s="6">
        <v>0</v>
      </c>
      <c r="U87" s="2"/>
      <c r="V87" s="7">
        <f t="shared" si="41"/>
        <v>0</v>
      </c>
      <c r="W87" s="2"/>
      <c r="X87" s="6">
        <f t="shared" si="42"/>
        <v>1678.59</v>
      </c>
      <c r="Y87" s="2"/>
      <c r="Z87" s="7">
        <f t="shared" si="43"/>
        <v>0</v>
      </c>
    </row>
    <row r="88" spans="1:26" s="28" customFormat="1" outlineLevel="1" collapsed="1" x14ac:dyDescent="0.3">
      <c r="A88" s="27"/>
      <c r="B88" s="14" t="str">
        <f>CONCATENATE("     ","Royalty &amp; Commissions                             ")</f>
        <v xml:space="preserve">     Royalty &amp; Commissions                             </v>
      </c>
      <c r="C88" s="14"/>
      <c r="D88" s="1">
        <f>SUM(OSRRefD22_13x_0)</f>
        <v>0</v>
      </c>
      <c r="E88" s="1"/>
      <c r="F88" s="5">
        <f t="shared" ref="F88:F91" si="44">IF(D$12=0,0,D88/D$12)</f>
        <v>0</v>
      </c>
      <c r="G88" s="1"/>
      <c r="H88" s="1">
        <f>SUM(OSRRefH22_13x_0)</f>
        <v>1906</v>
      </c>
      <c r="I88" s="1"/>
      <c r="J88" s="5">
        <f t="shared" ref="J88:J91" si="45">IF(H$12=0,0,H88/H$12)</f>
        <v>7.2242942478546951E-3</v>
      </c>
      <c r="K88" s="1"/>
      <c r="L88" s="1">
        <f t="shared" ref="L88:L91" si="46">+D88-H88</f>
        <v>-1906</v>
      </c>
      <c r="M88" s="1"/>
      <c r="N88" s="5">
        <f t="shared" ref="N88:N91" si="47">IF(H88=0,0,L88/H88)</f>
        <v>-1</v>
      </c>
      <c r="O88" s="14"/>
      <c r="P88" s="1">
        <f>SUM(OSRRefP22_13x_0)</f>
        <v>16132.79</v>
      </c>
      <c r="Q88" s="1"/>
      <c r="R88" s="5">
        <f t="shared" ref="R88:R91" si="48">IF(P$12=0,0,P88/P$12)</f>
        <v>8.6553067912165781E-3</v>
      </c>
      <c r="S88" s="1"/>
      <c r="T88" s="1">
        <f>SUM(OSRRefT22_13x_0)</f>
        <v>26392</v>
      </c>
      <c r="U88" s="1"/>
      <c r="V88" s="5">
        <f t="shared" ref="V88:V91" si="49">IF(T$12=0,0,T88/T$12)</f>
        <v>1.7438833252720356E-2</v>
      </c>
      <c r="W88" s="1"/>
      <c r="X88" s="1">
        <f t="shared" ref="X88:X91" si="50">+P88-T88</f>
        <v>-10259.209999999999</v>
      </c>
      <c r="Y88" s="1"/>
      <c r="Z88" s="5">
        <f t="shared" ref="Z88:Z91" si="51">IF(T88=0,0,X88/T88)</f>
        <v>-0.38872423461655042</v>
      </c>
    </row>
    <row r="89" spans="1:26" s="24" customFormat="1" hidden="1" outlineLevel="2" x14ac:dyDescent="0.3">
      <c r="A89" s="29"/>
      <c r="B89" s="11" t="str">
        <f>CONCATENATE("          ", "6252", " - ", "ROYALTY DUE CSTV")</f>
        <v xml:space="preserve">          6252 - ROYALTY DUE CSTV</v>
      </c>
      <c r="C89" s="11"/>
      <c r="D89" s="6"/>
      <c r="E89" s="2"/>
      <c r="F89" s="7">
        <f t="shared" si="44"/>
        <v>0</v>
      </c>
      <c r="G89" s="2"/>
      <c r="H89" s="6">
        <v>1906</v>
      </c>
      <c r="I89" s="2"/>
      <c r="J89" s="7">
        <f t="shared" si="45"/>
        <v>7.2242942478546951E-3</v>
      </c>
      <c r="K89" s="2"/>
      <c r="L89" s="6">
        <f t="shared" si="46"/>
        <v>-1906</v>
      </c>
      <c r="M89" s="2"/>
      <c r="N89" s="7">
        <f t="shared" si="47"/>
        <v>-1</v>
      </c>
      <c r="O89" s="11"/>
      <c r="P89" s="6"/>
      <c r="Q89" s="2"/>
      <c r="R89" s="7">
        <f t="shared" si="48"/>
        <v>0</v>
      </c>
      <c r="S89" s="2"/>
      <c r="T89" s="6">
        <v>10230</v>
      </c>
      <c r="U89" s="2"/>
      <c r="V89" s="7">
        <f t="shared" si="49"/>
        <v>6.7595962479285107E-3</v>
      </c>
      <c r="W89" s="2"/>
      <c r="X89" s="6">
        <f t="shared" si="50"/>
        <v>-10230</v>
      </c>
      <c r="Y89" s="2"/>
      <c r="Z89" s="7">
        <f t="shared" si="51"/>
        <v>-1</v>
      </c>
    </row>
    <row r="90" spans="1:26" s="24" customFormat="1" hidden="1" outlineLevel="2" x14ac:dyDescent="0.3">
      <c r="A90" s="29"/>
      <c r="B90" s="11" t="str">
        <f>CONCATENATE("          ", "6253", " - ", "ROYALTY DUE ATHLETICS-LRG")</f>
        <v xml:space="preserve">          6253 - ROYALTY DUE ATHLETICS-LRG</v>
      </c>
      <c r="C90" s="11"/>
      <c r="D90" s="6"/>
      <c r="E90" s="2"/>
      <c r="F90" s="7">
        <f t="shared" si="44"/>
        <v>0</v>
      </c>
      <c r="G90" s="2"/>
      <c r="H90" s="6">
        <v>0</v>
      </c>
      <c r="I90" s="2"/>
      <c r="J90" s="7">
        <f t="shared" si="45"/>
        <v>0</v>
      </c>
      <c r="K90" s="2"/>
      <c r="L90" s="6">
        <f t="shared" si="46"/>
        <v>0</v>
      </c>
      <c r="M90" s="2"/>
      <c r="N90" s="7">
        <f t="shared" si="47"/>
        <v>0</v>
      </c>
      <c r="O90" s="11"/>
      <c r="P90" s="6">
        <v>23160.29</v>
      </c>
      <c r="Q90" s="2"/>
      <c r="R90" s="7">
        <f t="shared" si="48"/>
        <v>1.2425588836372717E-2</v>
      </c>
      <c r="S90" s="2"/>
      <c r="T90" s="6">
        <v>16162</v>
      </c>
      <c r="U90" s="2"/>
      <c r="V90" s="7">
        <f t="shared" si="49"/>
        <v>1.0679237004791847E-2</v>
      </c>
      <c r="W90" s="2"/>
      <c r="X90" s="6">
        <f t="shared" si="50"/>
        <v>6998.2900000000009</v>
      </c>
      <c r="Y90" s="2"/>
      <c r="Z90" s="7">
        <f t="shared" si="51"/>
        <v>0.43300890978839257</v>
      </c>
    </row>
    <row r="91" spans="1:26" s="24" customFormat="1" hidden="1" outlineLevel="2" x14ac:dyDescent="0.3">
      <c r="A91" s="29"/>
      <c r="B91" s="11" t="str">
        <f>CONCATENATE("          ", "6254", " - ", "ROYALTY &amp; COMMISSIONS")</f>
        <v xml:space="preserve">          6254 - ROYALTY &amp; COMMISSIONS</v>
      </c>
      <c r="C91" s="11"/>
      <c r="D91" s="6">
        <v>0</v>
      </c>
      <c r="E91" s="2"/>
      <c r="F91" s="7">
        <f t="shared" si="44"/>
        <v>0</v>
      </c>
      <c r="G91" s="2"/>
      <c r="H91" s="6">
        <v>0</v>
      </c>
      <c r="I91" s="2"/>
      <c r="J91" s="7">
        <f t="shared" si="45"/>
        <v>0</v>
      </c>
      <c r="K91" s="2"/>
      <c r="L91" s="6">
        <f t="shared" si="46"/>
        <v>0</v>
      </c>
      <c r="M91" s="2"/>
      <c r="N91" s="7">
        <f t="shared" si="47"/>
        <v>0</v>
      </c>
      <c r="O91" s="11"/>
      <c r="P91" s="6">
        <v>-7027.5</v>
      </c>
      <c r="Q91" s="2"/>
      <c r="R91" s="7">
        <f t="shared" si="48"/>
        <v>-3.7702820451561386E-3</v>
      </c>
      <c r="S91" s="2"/>
      <c r="T91" s="6">
        <v>0</v>
      </c>
      <c r="U91" s="2"/>
      <c r="V91" s="7">
        <f t="shared" si="49"/>
        <v>0</v>
      </c>
      <c r="W91" s="2"/>
      <c r="X91" s="6">
        <f t="shared" si="50"/>
        <v>-7027.5</v>
      </c>
      <c r="Y91" s="2"/>
      <c r="Z91" s="7">
        <f t="shared" si="51"/>
        <v>0</v>
      </c>
    </row>
    <row r="92" spans="1:26" s="28" customFormat="1" outlineLevel="1" collapsed="1" x14ac:dyDescent="0.3">
      <c r="A92" s="27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1">
        <f>SUM(OSRRefD22_14x_0)</f>
        <v>0</v>
      </c>
      <c r="E92" s="1"/>
      <c r="F92" s="5">
        <f t="shared" ref="F92:F94" si="52">IF(D$12=0,0,D92/D$12)</f>
        <v>0</v>
      </c>
      <c r="G92" s="1"/>
      <c r="H92" s="1">
        <f>SUM(OSRRefH22_14x_0)</f>
        <v>0</v>
      </c>
      <c r="I92" s="1"/>
      <c r="J92" s="5">
        <f t="shared" ref="J92:J94" si="53">IF(H$12=0,0,H92/H$12)</f>
        <v>0</v>
      </c>
      <c r="K92" s="1"/>
      <c r="L92" s="1">
        <f t="shared" ref="L92:L94" si="54">+D92-H92</f>
        <v>0</v>
      </c>
      <c r="M92" s="1"/>
      <c r="N92" s="5">
        <f t="shared" ref="N92:N94" si="55">IF(H92=0,0,L92/H92)</f>
        <v>0</v>
      </c>
      <c r="O92" s="14"/>
      <c r="P92" s="1">
        <f>SUM(OSRRefP22_14x_0)</f>
        <v>0</v>
      </c>
      <c r="Q92" s="1"/>
      <c r="R92" s="5">
        <f t="shared" ref="R92:R94" si="56">IF(P$12=0,0,P92/P$12)</f>
        <v>0</v>
      </c>
      <c r="S92" s="1"/>
      <c r="T92" s="1">
        <f>SUM(OSRRefT22_14x_0)</f>
        <v>1000</v>
      </c>
      <c r="U92" s="1"/>
      <c r="V92" s="5">
        <f t="shared" ref="V92:V94" si="57">IF(T$12=0,0,T92/T$12)</f>
        <v>6.6076209657170198E-4</v>
      </c>
      <c r="W92" s="1"/>
      <c r="X92" s="1">
        <f t="shared" ref="X92:X94" si="58">+P92-T92</f>
        <v>-1000</v>
      </c>
      <c r="Y92" s="1"/>
      <c r="Z92" s="5">
        <f t="shared" ref="Z92:Z94" si="59">IF(T92=0,0,X92/T92)</f>
        <v>-1</v>
      </c>
    </row>
    <row r="93" spans="1:26" s="24" customFormat="1" hidden="1" outlineLevel="2" x14ac:dyDescent="0.3">
      <c r="A93" s="29"/>
      <c r="B93" s="11" t="str">
        <f>CONCATENATE("          ", "6258", " - ", "MEMBERSHIP DUES")</f>
        <v xml:space="preserve">          6258 - MEMBERSHIP DUES</v>
      </c>
      <c r="C93" s="11"/>
      <c r="D93" s="6"/>
      <c r="E93" s="2"/>
      <c r="F93" s="7">
        <f t="shared" si="52"/>
        <v>0</v>
      </c>
      <c r="G93" s="2"/>
      <c r="H93" s="6">
        <v>0</v>
      </c>
      <c r="I93" s="2"/>
      <c r="J93" s="7">
        <f t="shared" si="53"/>
        <v>0</v>
      </c>
      <c r="K93" s="2"/>
      <c r="L93" s="6">
        <f t="shared" si="54"/>
        <v>0</v>
      </c>
      <c r="M93" s="2"/>
      <c r="N93" s="7">
        <f t="shared" si="55"/>
        <v>0</v>
      </c>
      <c r="O93" s="11"/>
      <c r="P93" s="6"/>
      <c r="Q93" s="2"/>
      <c r="R93" s="7">
        <f t="shared" si="56"/>
        <v>0</v>
      </c>
      <c r="S93" s="2"/>
      <c r="T93" s="6">
        <v>1000</v>
      </c>
      <c r="U93" s="2"/>
      <c r="V93" s="7">
        <f t="shared" si="57"/>
        <v>6.6076209657170198E-4</v>
      </c>
      <c r="W93" s="2"/>
      <c r="X93" s="6">
        <f t="shared" si="58"/>
        <v>-1000</v>
      </c>
      <c r="Y93" s="2"/>
      <c r="Z93" s="7">
        <f t="shared" si="59"/>
        <v>-1</v>
      </c>
    </row>
    <row r="94" spans="1:26" s="24" customFormat="1" hidden="1" outlineLevel="2" x14ac:dyDescent="0.3">
      <c r="A94" s="29"/>
      <c r="B94" s="11" t="str">
        <f>CONCATENATE("          ", "6275", " - ", "SUBSCRIPTIONS")</f>
        <v xml:space="preserve">          6275 - SUBSCRIPTIONS</v>
      </c>
      <c r="C94" s="11"/>
      <c r="D94" s="6"/>
      <c r="E94" s="2"/>
      <c r="F94" s="7">
        <f t="shared" si="52"/>
        <v>0</v>
      </c>
      <c r="G94" s="2"/>
      <c r="H94" s="6">
        <v>0</v>
      </c>
      <c r="I94" s="2"/>
      <c r="J94" s="7">
        <f t="shared" si="53"/>
        <v>0</v>
      </c>
      <c r="K94" s="2"/>
      <c r="L94" s="6">
        <f t="shared" si="54"/>
        <v>0</v>
      </c>
      <c r="M94" s="2"/>
      <c r="N94" s="7">
        <f t="shared" si="55"/>
        <v>0</v>
      </c>
      <c r="O94" s="11"/>
      <c r="P94" s="6"/>
      <c r="Q94" s="2"/>
      <c r="R94" s="7">
        <f t="shared" si="56"/>
        <v>0</v>
      </c>
      <c r="S94" s="2"/>
      <c r="T94" s="6">
        <v>0</v>
      </c>
      <c r="U94" s="2"/>
      <c r="V94" s="7">
        <f t="shared" si="57"/>
        <v>0</v>
      </c>
      <c r="W94" s="2"/>
      <c r="X94" s="6">
        <f t="shared" si="58"/>
        <v>0</v>
      </c>
      <c r="Y94" s="2"/>
      <c r="Z94" s="7">
        <f t="shared" si="59"/>
        <v>0</v>
      </c>
    </row>
    <row r="95" spans="1:26" s="28" customFormat="1" outlineLevel="1" collapsed="1" x14ac:dyDescent="0.3">
      <c r="A95" s="27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SUM(OSRRefD22_15x_0)</f>
        <v>531.44000000000005</v>
      </c>
      <c r="E95" s="1"/>
      <c r="F95" s="5">
        <f t="shared" ref="F95:F99" si="60">IF(D$12=0,0,D95/D$12)</f>
        <v>1.4232532434689134E-3</v>
      </c>
      <c r="G95" s="1"/>
      <c r="H95" s="1">
        <f>SUM(OSRRefH22_15x_0)</f>
        <v>75</v>
      </c>
      <c r="I95" s="1"/>
      <c r="J95" s="5">
        <f t="shared" ref="J95:J99" si="61">IF(H$12=0,0,H95/H$12)</f>
        <v>2.8427180933321205E-4</v>
      </c>
      <c r="K95" s="1"/>
      <c r="L95" s="1">
        <f t="shared" ref="L95:L99" si="62">+D95-H95</f>
        <v>456.44000000000005</v>
      </c>
      <c r="M95" s="1"/>
      <c r="N95" s="5">
        <f t="shared" ref="N95:N99" si="63">IF(H95=0,0,L95/H95)</f>
        <v>6.085866666666667</v>
      </c>
      <c r="O95" s="14"/>
      <c r="P95" s="1">
        <f>SUM(OSRRefP22_15x_0)</f>
        <v>7579.83</v>
      </c>
      <c r="Q95" s="1"/>
      <c r="R95" s="5">
        <f t="shared" ref="R95:R99" si="64">IF(P$12=0,0,P95/P$12)</f>
        <v>4.0666093140285806E-3</v>
      </c>
      <c r="S95" s="1"/>
      <c r="T95" s="1">
        <f>SUM(OSRRefT22_15x_0)</f>
        <v>450</v>
      </c>
      <c r="U95" s="1"/>
      <c r="V95" s="5">
        <f t="shared" ref="V95:V99" si="65">IF(T$12=0,0,T95/T$12)</f>
        <v>2.973429434572659E-4</v>
      </c>
      <c r="W95" s="1"/>
      <c r="X95" s="1">
        <f t="shared" ref="X95:X99" si="66">+P95-T95</f>
        <v>7129.83</v>
      </c>
      <c r="Y95" s="1"/>
      <c r="Z95" s="5">
        <f t="shared" ref="Z95:Z99" si="67">IF(T95=0,0,X95/T95)</f>
        <v>15.844066666666667</v>
      </c>
    </row>
    <row r="96" spans="1:26" s="24" customFormat="1" hidden="1" outlineLevel="2" x14ac:dyDescent="0.3">
      <c r="A96" s="29"/>
      <c r="B96" s="11" t="str">
        <f>CONCATENATE("          ", "6235", " - ", "COVID-19 EXPENSES")</f>
        <v xml:space="preserve">          6235 - COVID-19 EXPENSES</v>
      </c>
      <c r="C96" s="11"/>
      <c r="D96" s="6"/>
      <c r="E96" s="2"/>
      <c r="F96" s="7">
        <f t="shared" si="60"/>
        <v>0</v>
      </c>
      <c r="G96" s="2"/>
      <c r="H96" s="6">
        <v>0</v>
      </c>
      <c r="I96" s="2"/>
      <c r="J96" s="7">
        <f t="shared" si="61"/>
        <v>0</v>
      </c>
      <c r="K96" s="2"/>
      <c r="L96" s="6">
        <f t="shared" si="62"/>
        <v>0</v>
      </c>
      <c r="M96" s="2"/>
      <c r="N96" s="7">
        <f t="shared" si="63"/>
        <v>0</v>
      </c>
      <c r="O96" s="11"/>
      <c r="P96" s="6"/>
      <c r="Q96" s="2"/>
      <c r="R96" s="7">
        <f t="shared" si="64"/>
        <v>0</v>
      </c>
      <c r="S96" s="2"/>
      <c r="T96" s="6">
        <v>0</v>
      </c>
      <c r="U96" s="2"/>
      <c r="V96" s="7">
        <f t="shared" si="65"/>
        <v>0</v>
      </c>
      <c r="W96" s="2"/>
      <c r="X96" s="6">
        <f t="shared" si="66"/>
        <v>0</v>
      </c>
      <c r="Y96" s="2"/>
      <c r="Z96" s="7">
        <f t="shared" si="67"/>
        <v>0</v>
      </c>
    </row>
    <row r="97" spans="1:26" s="24" customFormat="1" hidden="1" outlineLevel="2" x14ac:dyDescent="0.3">
      <c r="A97" s="29"/>
      <c r="B97" s="11" t="str">
        <f>CONCATENATE("          ", "6241", " - ", "OFFICE EXPENSE")</f>
        <v xml:space="preserve">          6241 - OFFICE EXPENSE</v>
      </c>
      <c r="C97" s="11"/>
      <c r="D97" s="6">
        <v>251.68</v>
      </c>
      <c r="E97" s="2"/>
      <c r="F97" s="7">
        <f t="shared" si="60"/>
        <v>6.7402599788547366E-4</v>
      </c>
      <c r="G97" s="2"/>
      <c r="H97" s="6">
        <v>25</v>
      </c>
      <c r="I97" s="2"/>
      <c r="J97" s="7">
        <f t="shared" si="61"/>
        <v>9.4757269777737355E-5</v>
      </c>
      <c r="K97" s="2"/>
      <c r="L97" s="6">
        <f t="shared" si="62"/>
        <v>226.68</v>
      </c>
      <c r="M97" s="2"/>
      <c r="N97" s="7">
        <f t="shared" si="63"/>
        <v>9.0671999999999997</v>
      </c>
      <c r="O97" s="11"/>
      <c r="P97" s="6">
        <v>1082.92</v>
      </c>
      <c r="Q97" s="2"/>
      <c r="R97" s="7">
        <f t="shared" si="64"/>
        <v>5.8099094021209327E-4</v>
      </c>
      <c r="S97" s="2"/>
      <c r="T97" s="6">
        <v>150</v>
      </c>
      <c r="U97" s="2"/>
      <c r="V97" s="7">
        <f t="shared" si="65"/>
        <v>9.9114314485755295E-5</v>
      </c>
      <c r="W97" s="2"/>
      <c r="X97" s="6">
        <f t="shared" si="66"/>
        <v>932.92000000000007</v>
      </c>
      <c r="Y97" s="2"/>
      <c r="Z97" s="7">
        <f t="shared" si="67"/>
        <v>6.2194666666666674</v>
      </c>
    </row>
    <row r="98" spans="1:26" s="24" customFormat="1" hidden="1" outlineLevel="2" x14ac:dyDescent="0.3">
      <c r="A98" s="29"/>
      <c r="B98" s="11" t="str">
        <f>CONCATENATE("          ", "6245", " - ", "PRINTING")</f>
        <v xml:space="preserve">          6245 - PRINTING</v>
      </c>
      <c r="C98" s="11"/>
      <c r="D98" s="6">
        <v>24.75</v>
      </c>
      <c r="E98" s="2"/>
      <c r="F98" s="7">
        <f t="shared" si="60"/>
        <v>6.6283151015835473E-5</v>
      </c>
      <c r="G98" s="2"/>
      <c r="H98" s="6"/>
      <c r="I98" s="2"/>
      <c r="J98" s="7">
        <f t="shared" si="61"/>
        <v>0</v>
      </c>
      <c r="K98" s="2"/>
      <c r="L98" s="6">
        <f t="shared" si="62"/>
        <v>24.75</v>
      </c>
      <c r="M98" s="2"/>
      <c r="N98" s="7">
        <f t="shared" si="63"/>
        <v>0</v>
      </c>
      <c r="O98" s="11"/>
      <c r="P98" s="6">
        <v>24.75</v>
      </c>
      <c r="Q98" s="2"/>
      <c r="R98" s="7">
        <f t="shared" si="64"/>
        <v>1.3278474652097392E-5</v>
      </c>
      <c r="S98" s="2"/>
      <c r="T98" s="6"/>
      <c r="U98" s="2"/>
      <c r="V98" s="7">
        <f t="shared" si="65"/>
        <v>0</v>
      </c>
      <c r="W98" s="2"/>
      <c r="X98" s="6">
        <f t="shared" si="66"/>
        <v>24.75</v>
      </c>
      <c r="Y98" s="2"/>
      <c r="Z98" s="7">
        <f t="shared" si="67"/>
        <v>0</v>
      </c>
    </row>
    <row r="99" spans="1:26" s="24" customFormat="1" hidden="1" outlineLevel="2" x14ac:dyDescent="0.3">
      <c r="A99" s="29"/>
      <c r="B99" s="11" t="str">
        <f>CONCATENATE("          ", "6247", " - ", "STORE SUPPLIES")</f>
        <v xml:space="preserve">          6247 - STORE SUPPLIES</v>
      </c>
      <c r="C99" s="11"/>
      <c r="D99" s="6">
        <v>255.01</v>
      </c>
      <c r="E99" s="2"/>
      <c r="F99" s="7">
        <f t="shared" si="60"/>
        <v>6.8294409456760418E-4</v>
      </c>
      <c r="G99" s="2"/>
      <c r="H99" s="6">
        <v>50</v>
      </c>
      <c r="I99" s="2"/>
      <c r="J99" s="7">
        <f t="shared" si="61"/>
        <v>1.8951453955547471E-4</v>
      </c>
      <c r="K99" s="2"/>
      <c r="L99" s="6">
        <f t="shared" si="62"/>
        <v>205.01</v>
      </c>
      <c r="M99" s="2"/>
      <c r="N99" s="7">
        <f t="shared" si="63"/>
        <v>4.1002000000000001</v>
      </c>
      <c r="O99" s="11"/>
      <c r="P99" s="6">
        <v>6472.16</v>
      </c>
      <c r="Q99" s="2"/>
      <c r="R99" s="7">
        <f t="shared" si="64"/>
        <v>3.4723398991643901E-3</v>
      </c>
      <c r="S99" s="2"/>
      <c r="T99" s="6">
        <v>300</v>
      </c>
      <c r="U99" s="2"/>
      <c r="V99" s="7">
        <f t="shared" si="65"/>
        <v>1.9822862897151059E-4</v>
      </c>
      <c r="W99" s="2"/>
      <c r="X99" s="6">
        <f t="shared" si="66"/>
        <v>6172.16</v>
      </c>
      <c r="Y99" s="2"/>
      <c r="Z99" s="7">
        <f t="shared" si="67"/>
        <v>20.573866666666667</v>
      </c>
    </row>
    <row r="100" spans="1:26" s="28" customFormat="1" outlineLevel="1" collapsed="1" x14ac:dyDescent="0.3">
      <c r="A100" s="27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SUM(OSRRefD22_16x_0)</f>
        <v>111.85</v>
      </c>
      <c r="E100" s="1"/>
      <c r="F100" s="5">
        <f t="shared" ref="F100:F103" si="68">IF(D$12=0,0,D100/D$12)</f>
        <v>2.995462804493413E-4</v>
      </c>
      <c r="G100" s="1"/>
      <c r="H100" s="1">
        <f>SUM(OSRRefH22_16x_0)</f>
        <v>300</v>
      </c>
      <c r="I100" s="1"/>
      <c r="J100" s="5">
        <f t="shared" ref="J100:J103" si="69">IF(H$12=0,0,H100/H$12)</f>
        <v>1.1370872373328482E-3</v>
      </c>
      <c r="K100" s="1"/>
      <c r="L100" s="1">
        <f t="shared" ref="L100:L103" si="70">+D100-H100</f>
        <v>-188.15</v>
      </c>
      <c r="M100" s="1"/>
      <c r="N100" s="5">
        <f t="shared" ref="N100:N103" si="71">IF(H100=0,0,L100/H100)</f>
        <v>-0.62716666666666665</v>
      </c>
      <c r="O100" s="14"/>
      <c r="P100" s="1">
        <f>SUM(OSRRefP22_16x_0)</f>
        <v>1151.3</v>
      </c>
      <c r="Q100" s="1"/>
      <c r="R100" s="5">
        <f t="shared" ref="R100:R103" si="72">IF(P$12=0,0,P100/P$12)</f>
        <v>6.1767708553372633E-4</v>
      </c>
      <c r="S100" s="1"/>
      <c r="T100" s="1">
        <f>SUM(OSRRefT22_16x_0)</f>
        <v>1800</v>
      </c>
      <c r="U100" s="1"/>
      <c r="V100" s="5">
        <f t="shared" ref="V100:V103" si="73">IF(T$12=0,0,T100/T$12)</f>
        <v>1.1893717738290636E-3</v>
      </c>
      <c r="W100" s="1"/>
      <c r="X100" s="1">
        <f t="shared" ref="X100:X103" si="74">+P100-T100</f>
        <v>-648.70000000000005</v>
      </c>
      <c r="Y100" s="1"/>
      <c r="Z100" s="5">
        <f t="shared" ref="Z100:Z103" si="75">IF(T100=0,0,X100/T100)</f>
        <v>-0.36038888888888893</v>
      </c>
    </row>
    <row r="101" spans="1:26" s="24" customFormat="1" hidden="1" outlineLevel="2" x14ac:dyDescent="0.3">
      <c r="A101" s="29"/>
      <c r="B101" s="11" t="str">
        <f>CONCATENATE("          ", "6309", " - ", "TELEPHONE")</f>
        <v xml:space="preserve">          6309 - TELEPHONE</v>
      </c>
      <c r="C101" s="11"/>
      <c r="D101" s="6">
        <v>111.85</v>
      </c>
      <c r="E101" s="2"/>
      <c r="F101" s="7">
        <f t="shared" si="68"/>
        <v>2.995462804493413E-4</v>
      </c>
      <c r="G101" s="2"/>
      <c r="H101" s="6">
        <v>300</v>
      </c>
      <c r="I101" s="2"/>
      <c r="J101" s="7">
        <f t="shared" si="69"/>
        <v>1.1370872373328482E-3</v>
      </c>
      <c r="K101" s="2"/>
      <c r="L101" s="6">
        <f t="shared" si="70"/>
        <v>-188.15</v>
      </c>
      <c r="M101" s="2"/>
      <c r="N101" s="7">
        <f t="shared" si="71"/>
        <v>-0.62716666666666665</v>
      </c>
      <c r="O101" s="11"/>
      <c r="P101" s="6">
        <v>1151.3</v>
      </c>
      <c r="Q101" s="2"/>
      <c r="R101" s="7">
        <f t="shared" si="72"/>
        <v>6.1767708553372633E-4</v>
      </c>
      <c r="S101" s="2"/>
      <c r="T101" s="6">
        <v>1800</v>
      </c>
      <c r="U101" s="2"/>
      <c r="V101" s="7">
        <f t="shared" si="73"/>
        <v>1.1893717738290636E-3</v>
      </c>
      <c r="W101" s="2"/>
      <c r="X101" s="6">
        <f t="shared" si="74"/>
        <v>-648.70000000000005</v>
      </c>
      <c r="Y101" s="2"/>
      <c r="Z101" s="7">
        <f t="shared" si="75"/>
        <v>-0.36038888888888893</v>
      </c>
    </row>
    <row r="102" spans="1:26" s="28" customFormat="1" outlineLevel="1" collapsed="1" x14ac:dyDescent="0.3">
      <c r="A102" s="27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SUM(OSRRefD22_17x_0)</f>
        <v>0</v>
      </c>
      <c r="E102" s="1"/>
      <c r="F102" s="5">
        <f t="shared" si="68"/>
        <v>0</v>
      </c>
      <c r="G102" s="1"/>
      <c r="H102" s="1">
        <f>SUM(OSRRefH22_17x_0)</f>
        <v>25</v>
      </c>
      <c r="I102" s="1"/>
      <c r="J102" s="5">
        <f t="shared" si="69"/>
        <v>9.4757269777737355E-5</v>
      </c>
      <c r="K102" s="1"/>
      <c r="L102" s="1">
        <f t="shared" si="70"/>
        <v>-25</v>
      </c>
      <c r="M102" s="1"/>
      <c r="N102" s="5">
        <f t="shared" si="71"/>
        <v>-1</v>
      </c>
      <c r="O102" s="14"/>
      <c r="P102" s="1">
        <f>SUM(OSRRefP22_17x_0)</f>
        <v>40.32</v>
      </c>
      <c r="Q102" s="1"/>
      <c r="R102" s="5">
        <f t="shared" si="72"/>
        <v>2.1631842342325933E-5</v>
      </c>
      <c r="S102" s="1"/>
      <c r="T102" s="1">
        <f>SUM(OSRRefT22_17x_0)</f>
        <v>150</v>
      </c>
      <c r="U102" s="1"/>
      <c r="V102" s="5">
        <f t="shared" si="73"/>
        <v>9.9114314485755295E-5</v>
      </c>
      <c r="W102" s="1"/>
      <c r="X102" s="1">
        <f t="shared" si="74"/>
        <v>-109.68</v>
      </c>
      <c r="Y102" s="1"/>
      <c r="Z102" s="5">
        <f t="shared" si="75"/>
        <v>-0.73120000000000007</v>
      </c>
    </row>
    <row r="103" spans="1:26" s="24" customFormat="1" hidden="1" outlineLevel="2" x14ac:dyDescent="0.3">
      <c r="A103" s="29"/>
      <c r="B103" s="11" t="str">
        <f>CONCATENATE("          ", "6294", " - ", "TRAVEL OPERATIONAL")</f>
        <v xml:space="preserve">          6294 - TRAVEL OPERATIONAL</v>
      </c>
      <c r="C103" s="11"/>
      <c r="D103" s="6"/>
      <c r="E103" s="2"/>
      <c r="F103" s="7">
        <f t="shared" si="68"/>
        <v>0</v>
      </c>
      <c r="G103" s="2"/>
      <c r="H103" s="6">
        <v>25</v>
      </c>
      <c r="I103" s="2"/>
      <c r="J103" s="7">
        <f t="shared" si="69"/>
        <v>9.4757269777737355E-5</v>
      </c>
      <c r="K103" s="2"/>
      <c r="L103" s="6">
        <f t="shared" si="70"/>
        <v>-25</v>
      </c>
      <c r="M103" s="2"/>
      <c r="N103" s="7">
        <f t="shared" si="71"/>
        <v>-1</v>
      </c>
      <c r="O103" s="11"/>
      <c r="P103" s="6">
        <v>40.32</v>
      </c>
      <c r="Q103" s="2"/>
      <c r="R103" s="7">
        <f t="shared" si="72"/>
        <v>2.1631842342325933E-5</v>
      </c>
      <c r="S103" s="2"/>
      <c r="T103" s="6">
        <v>150</v>
      </c>
      <c r="U103" s="2"/>
      <c r="V103" s="7">
        <f t="shared" si="73"/>
        <v>9.9114314485755295E-5</v>
      </c>
      <c r="W103" s="2"/>
      <c r="X103" s="6">
        <f t="shared" si="74"/>
        <v>-109.68</v>
      </c>
      <c r="Y103" s="2"/>
      <c r="Z103" s="7">
        <f t="shared" si="75"/>
        <v>-0.73120000000000007</v>
      </c>
    </row>
    <row r="104" spans="1:26" s="55" customFormat="1" x14ac:dyDescent="0.3">
      <c r="A104" s="36"/>
      <c r="B104" s="36"/>
      <c r="C104" s="36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6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3">
      <c r="A105" s="10"/>
      <c r="B105" s="25" t="s">
        <v>293</v>
      </c>
      <c r="C105" s="10"/>
      <c r="D105" s="4">
        <f>SUM(OSRRefD25x_0)</f>
        <v>290</v>
      </c>
      <c r="E105" s="4"/>
      <c r="F105" s="12">
        <f t="shared" ref="F105:F108" si="76">IF(D$12=0,0,D105/D$12)</f>
        <v>7.7665106240776922E-4</v>
      </c>
      <c r="G105" s="4"/>
      <c r="H105" s="4">
        <f>SUM(OSRRefH25x_0)</f>
        <v>58333</v>
      </c>
      <c r="I105" s="4"/>
      <c r="J105" s="12">
        <f t="shared" ref="J105:J108" si="77">IF(H$12=0,0,H105/H$12)</f>
        <v>0.22109903271779011</v>
      </c>
      <c r="K105" s="4"/>
      <c r="L105" s="4">
        <f t="shared" ref="L105:L108" si="78">+D105-H105</f>
        <v>-58043</v>
      </c>
      <c r="M105" s="4"/>
      <c r="N105" s="12">
        <f t="shared" ref="N105:N108" si="79">IF(H105=0,0,L105/H105)</f>
        <v>-0.99502854302024579</v>
      </c>
      <c r="O105" s="10"/>
      <c r="P105" s="4">
        <f>SUM(OSRRefP25x_0)</f>
        <v>119353.12</v>
      </c>
      <c r="Q105" s="4"/>
      <c r="R105" s="12">
        <f t="shared" ref="R105:R108" si="80">IF(P$12=0,0,P105/P$12)</f>
        <v>6.4033429437120745E-2</v>
      </c>
      <c r="S105" s="4"/>
      <c r="T105" s="4">
        <f>SUM(OSRRefT25x_0)</f>
        <v>90657</v>
      </c>
      <c r="U105" s="4"/>
      <c r="V105" s="12">
        <f t="shared" ref="V105:V108" si="81">IF(T$12=0,0,T105/T$12)</f>
        <v>5.9902709388900785E-2</v>
      </c>
      <c r="W105" s="4"/>
      <c r="X105" s="4">
        <f t="shared" ref="X105:X108" si="82">+P105-T105</f>
        <v>28696.119999999995</v>
      </c>
      <c r="Y105" s="4"/>
      <c r="Z105" s="12">
        <f t="shared" ref="Z105:Z108" si="83">IF(T105=0,0,X105/T105)</f>
        <v>0.31653507175397372</v>
      </c>
    </row>
    <row r="106" spans="1:26" s="24" customFormat="1" hidden="1" outlineLevel="1" x14ac:dyDescent="0.3">
      <c r="A106" s="44"/>
      <c r="B106" s="11" t="str">
        <f>CONCATENATE("          ", "9150", " - ", "MISC. INCOME")</f>
        <v xml:space="preserve">          9150 - MISC. INCOME</v>
      </c>
      <c r="C106" s="11"/>
      <c r="D106" s="2">
        <f>--290</f>
        <v>290</v>
      </c>
      <c r="E106" s="2"/>
      <c r="F106" s="19">
        <f t="shared" si="76"/>
        <v>7.7665106240776922E-4</v>
      </c>
      <c r="G106" s="2"/>
      <c r="H106" s="2">
        <v>0</v>
      </c>
      <c r="I106" s="2"/>
      <c r="J106" s="19">
        <f t="shared" si="77"/>
        <v>0</v>
      </c>
      <c r="K106" s="2"/>
      <c r="L106" s="2">
        <f t="shared" si="78"/>
        <v>290</v>
      </c>
      <c r="M106" s="2"/>
      <c r="N106" s="19">
        <f t="shared" si="79"/>
        <v>0</v>
      </c>
      <c r="O106" s="11"/>
      <c r="P106" s="2">
        <f>--46604.92</f>
        <v>46604.92</v>
      </c>
      <c r="Q106" s="2"/>
      <c r="R106" s="19">
        <f t="shared" si="80"/>
        <v>2.5003727227597042E-2</v>
      </c>
      <c r="S106" s="2"/>
      <c r="T106" s="2">
        <v>32324</v>
      </c>
      <c r="U106" s="2"/>
      <c r="V106" s="19">
        <f t="shared" si="81"/>
        <v>2.1358474009583694E-2</v>
      </c>
      <c r="W106" s="2"/>
      <c r="X106" s="2">
        <f t="shared" si="82"/>
        <v>14280.919999999998</v>
      </c>
      <c r="Y106" s="2"/>
      <c r="Z106" s="19">
        <f t="shared" si="83"/>
        <v>0.44180546962009648</v>
      </c>
    </row>
    <row r="107" spans="1:26" s="24" customFormat="1" hidden="1" outlineLevel="1" x14ac:dyDescent="0.3">
      <c r="A107" s="44"/>
      <c r="B107" s="11" t="str">
        <f>CONCATENATE("          ", "9160", " - ", "MISC. INCOME")</f>
        <v xml:space="preserve">          9160 - MISC. INCOME</v>
      </c>
      <c r="C107" s="11"/>
      <c r="D107" s="2">
        <f t="shared" ref="D107:D108" si="84">0</f>
        <v>0</v>
      </c>
      <c r="E107" s="2"/>
      <c r="F107" s="19">
        <f t="shared" si="76"/>
        <v>0</v>
      </c>
      <c r="G107" s="2"/>
      <c r="H107" s="2">
        <v>58333</v>
      </c>
      <c r="I107" s="2"/>
      <c r="J107" s="19">
        <f t="shared" si="77"/>
        <v>0.22109903271779011</v>
      </c>
      <c r="K107" s="2"/>
      <c r="L107" s="2">
        <f t="shared" si="78"/>
        <v>-58333</v>
      </c>
      <c r="M107" s="2"/>
      <c r="N107" s="19">
        <f t="shared" si="79"/>
        <v>-1</v>
      </c>
      <c r="O107" s="11"/>
      <c r="P107" s="2">
        <f>0</f>
        <v>0</v>
      </c>
      <c r="Q107" s="2"/>
      <c r="R107" s="19">
        <f t="shared" si="80"/>
        <v>0</v>
      </c>
      <c r="S107" s="2"/>
      <c r="T107" s="2">
        <v>58333</v>
      </c>
      <c r="U107" s="2"/>
      <c r="V107" s="19">
        <f t="shared" si="81"/>
        <v>3.8544235379317088E-2</v>
      </c>
      <c r="W107" s="2"/>
      <c r="X107" s="2">
        <f t="shared" si="82"/>
        <v>-58333</v>
      </c>
      <c r="Y107" s="2"/>
      <c r="Z107" s="19">
        <f t="shared" si="83"/>
        <v>-1</v>
      </c>
    </row>
    <row r="108" spans="1:26" s="24" customFormat="1" hidden="1" outlineLevel="1" x14ac:dyDescent="0.3">
      <c r="A108" s="44"/>
      <c r="B108" s="11" t="str">
        <f>CONCATENATE("          ", "9163", " - ", "MISC. INCOME")</f>
        <v xml:space="preserve">          9163 - MISC. INCOME</v>
      </c>
      <c r="C108" s="11"/>
      <c r="D108" s="2">
        <f t="shared" si="84"/>
        <v>0</v>
      </c>
      <c r="E108" s="2"/>
      <c r="F108" s="19">
        <f t="shared" si="76"/>
        <v>0</v>
      </c>
      <c r="G108" s="2"/>
      <c r="H108" s="2"/>
      <c r="I108" s="2"/>
      <c r="J108" s="19">
        <f t="shared" si="77"/>
        <v>0</v>
      </c>
      <c r="K108" s="2"/>
      <c r="L108" s="2">
        <f t="shared" si="78"/>
        <v>0</v>
      </c>
      <c r="M108" s="2"/>
      <c r="N108" s="19">
        <f t="shared" si="79"/>
        <v>0</v>
      </c>
      <c r="O108" s="11"/>
      <c r="P108" s="2">
        <f>--72748.2</f>
        <v>72748.2</v>
      </c>
      <c r="Q108" s="2"/>
      <c r="R108" s="19">
        <f t="shared" si="80"/>
        <v>3.9029702209523696E-2</v>
      </c>
      <c r="S108" s="2"/>
      <c r="T108" s="2"/>
      <c r="U108" s="2"/>
      <c r="V108" s="19">
        <f t="shared" si="81"/>
        <v>0</v>
      </c>
      <c r="W108" s="2"/>
      <c r="X108" s="2">
        <f t="shared" si="82"/>
        <v>72748.2</v>
      </c>
      <c r="Y108" s="2"/>
      <c r="Z108" s="19">
        <f t="shared" si="83"/>
        <v>0</v>
      </c>
    </row>
    <row r="109" spans="1:26" x14ac:dyDescent="0.3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3">
      <c r="A110" s="10"/>
      <c r="B110" s="26" t="s">
        <v>277</v>
      </c>
      <c r="C110" s="26"/>
      <c r="D110" s="20">
        <f>+D40-D42+D105</f>
        <v>118441.56000000006</v>
      </c>
      <c r="E110" s="13"/>
      <c r="F110" s="22">
        <f>IF(D$12=0,0,D110/D$12)</f>
        <v>0.31719918416287446</v>
      </c>
      <c r="G110" s="13"/>
      <c r="H110" s="20">
        <f>+H40-H42+H105</f>
        <v>112538.13029807693</v>
      </c>
      <c r="I110" s="13"/>
      <c r="J110" s="22">
        <f>IF(H$12=0,0,H110/H$12)</f>
        <v>0.42655223891748129</v>
      </c>
      <c r="K110" s="16"/>
      <c r="L110" s="20">
        <f>+D110-H110</f>
        <v>5903.4297019231308</v>
      </c>
      <c r="M110" s="16"/>
      <c r="N110" s="22">
        <f>IF(H110=0,0,L110/H110)</f>
        <v>5.2457151067703579E-2</v>
      </c>
      <c r="O110" s="25"/>
      <c r="P110" s="20">
        <f>+P40-P42+P105</f>
        <v>610608.23</v>
      </c>
      <c r="Q110" s="13"/>
      <c r="R110" s="22">
        <f>IF(P$12=0,0,P110/P$12)</f>
        <v>0.3275937739158406</v>
      </c>
      <c r="S110" s="13"/>
      <c r="T110" s="20">
        <f>+T40-T42+T105</f>
        <v>307785.10993749998</v>
      </c>
      <c r="U110" s="13"/>
      <c r="V110" s="22">
        <f>IF(T$12=0,0,T110/T$12)</f>
        <v>0.20337273453585425</v>
      </c>
      <c r="W110" s="16"/>
      <c r="X110" s="20">
        <f>+P110-T110</f>
        <v>302823.12006250001</v>
      </c>
      <c r="Y110" s="16"/>
      <c r="Z110" s="22">
        <f>IF(T110=0,0,X110/T110)</f>
        <v>0.98387839529986498</v>
      </c>
    </row>
    <row r="111" spans="1:26" x14ac:dyDescent="0.3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">
      <c r="A112" s="52"/>
      <c r="B112" s="10" t="s">
        <v>128</v>
      </c>
      <c r="C112" s="10"/>
      <c r="D112" s="4">
        <v>46822.879999999997</v>
      </c>
      <c r="E112" s="4"/>
      <c r="F112" s="12">
        <f>IF(D$12=0,0,D112/D$12)</f>
        <v>0.1253966879206603</v>
      </c>
      <c r="G112" s="4"/>
      <c r="H112" s="4">
        <v>39730</v>
      </c>
      <c r="I112" s="4"/>
      <c r="J112" s="12">
        <f>IF(H$12=0,0,H112/H$12)</f>
        <v>0.1505882531307802</v>
      </c>
      <c r="K112" s="4"/>
      <c r="L112" s="4">
        <f>+D112-H112</f>
        <v>7092.8799999999974</v>
      </c>
      <c r="M112" s="4"/>
      <c r="N112" s="12">
        <f>IF(H112=0,0,L112/H112)</f>
        <v>0.17852705763906362</v>
      </c>
      <c r="O112" s="10"/>
      <c r="P112" s="4">
        <v>224361.41</v>
      </c>
      <c r="Q112" s="4"/>
      <c r="R112" s="12">
        <f>IF(P$12=0,0,P112/P$12)</f>
        <v>0.12037079982197295</v>
      </c>
      <c r="S112" s="4"/>
      <c r="T112" s="4">
        <v>195942</v>
      </c>
      <c r="U112" s="4"/>
      <c r="V112" s="12">
        <f>IF(T$12=0,0,T112/T$12)</f>
        <v>0.12947104672645243</v>
      </c>
      <c r="W112" s="4"/>
      <c r="X112" s="4">
        <f>+P112-T112</f>
        <v>28419.410000000003</v>
      </c>
      <c r="Y112" s="4"/>
      <c r="Z112" s="12">
        <f>IF(T112=0,0,X112/T112)</f>
        <v>0.14503990976921743</v>
      </c>
    </row>
    <row r="113" spans="1:26" x14ac:dyDescent="0.3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" thickBot="1" x14ac:dyDescent="0.35">
      <c r="A114" s="10"/>
      <c r="B114" s="26" t="s">
        <v>126</v>
      </c>
      <c r="C114" s="26"/>
      <c r="D114" s="31">
        <f>+D110-D112</f>
        <v>71618.680000000051</v>
      </c>
      <c r="E114" s="13"/>
      <c r="F114" s="30">
        <f>IF(D$12=0,0,D114/D$12)</f>
        <v>0.19180249624221413</v>
      </c>
      <c r="G114" s="13"/>
      <c r="H114" s="31">
        <f>+H110-H112</f>
        <v>72808.130298076925</v>
      </c>
      <c r="I114" s="13"/>
      <c r="J114" s="30">
        <f>IF(H$12=0,0,H114/H$12)</f>
        <v>0.27596398578670112</v>
      </c>
      <c r="K114" s="16"/>
      <c r="L114" s="31">
        <f>D114-H114</f>
        <v>-1189.4502980768739</v>
      </c>
      <c r="M114" s="16"/>
      <c r="N114" s="30">
        <f>IF(H114=0,0,L114/H114)</f>
        <v>-1.633677850546714E-2</v>
      </c>
      <c r="O114" s="25"/>
      <c r="P114" s="31">
        <f>+P110-P112</f>
        <v>386246.81999999995</v>
      </c>
      <c r="Q114" s="13"/>
      <c r="R114" s="30">
        <f>IF(P$12=0,0,P114/P$12)</f>
        <v>0.20722297409386761</v>
      </c>
      <c r="S114" s="13"/>
      <c r="T114" s="31">
        <f>+T110-T112</f>
        <v>111843.10993749998</v>
      </c>
      <c r="U114" s="13"/>
      <c r="V114" s="30">
        <f>IF(T$12=0,0,T114/T$12)</f>
        <v>7.3901687809401831E-2</v>
      </c>
      <c r="W114" s="16"/>
      <c r="X114" s="31">
        <f>P114-T114</f>
        <v>274403.71006249997</v>
      </c>
      <c r="Y114" s="16"/>
      <c r="Z114" s="30">
        <f>IF(T114=0,0,X114/T114)</f>
        <v>2.4534699564044842</v>
      </c>
    </row>
    <row r="115" spans="1:26" ht="15" thickTop="1" x14ac:dyDescent="0.3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3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" thickBot="1" x14ac:dyDescent="0.35">
      <c r="A117" s="10"/>
      <c r="B117" s="26" t="s">
        <v>294</v>
      </c>
      <c r="C117" s="26"/>
      <c r="D117" s="35">
        <f>SUM(D114:D116)</f>
        <v>71618.680000000051</v>
      </c>
      <c r="E117" s="13"/>
      <c r="F117" s="34">
        <f>IF(D$12=0,0,D117/D$12)</f>
        <v>0.19180249624221413</v>
      </c>
      <c r="G117" s="13"/>
      <c r="H117" s="35">
        <f>SUM(H114:H116)</f>
        <v>72808.130298076925</v>
      </c>
      <c r="I117" s="13"/>
      <c r="J117" s="34">
        <f>IF(H$12=0,0,H117/H$12)</f>
        <v>0.27596398578670112</v>
      </c>
      <c r="K117" s="16"/>
      <c r="L117" s="35">
        <f>+D117-H117</f>
        <v>-1189.4502980768739</v>
      </c>
      <c r="M117" s="16"/>
      <c r="N117" s="34">
        <f>IF(H117=0,0,L117/H117)</f>
        <v>-1.633677850546714E-2</v>
      </c>
      <c r="O117" s="25"/>
      <c r="P117" s="35">
        <f>SUM(P114:P116)</f>
        <v>386246.81999999995</v>
      </c>
      <c r="Q117" s="13"/>
      <c r="R117" s="34">
        <f>IF(P$12=0,0,P117/P$12)</f>
        <v>0.20722297409386761</v>
      </c>
      <c r="S117" s="13"/>
      <c r="T117" s="35">
        <f>SUM(T114:T116)</f>
        <v>111843.10993749998</v>
      </c>
      <c r="U117" s="13"/>
      <c r="V117" s="34">
        <f>IF(T$12=0,0,T117/T$12)</f>
        <v>7.3901687809401831E-2</v>
      </c>
      <c r="W117" s="16"/>
      <c r="X117" s="35">
        <f>+P117-T117</f>
        <v>274403.71006249997</v>
      </c>
      <c r="Y117" s="16"/>
      <c r="Z117" s="34">
        <f>IF(T117=0,0,X117/T117)</f>
        <v>2.4534699564044842</v>
      </c>
    </row>
    <row r="118" spans="1:26" ht="15" thickTop="1" x14ac:dyDescent="0.3">
      <c r="A118" s="9"/>
      <c r="C118" s="9"/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3">
      <c r="A119" s="9"/>
      <c r="B119" s="61">
        <v>44575.842125659721</v>
      </c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3">
      <c r="A120" s="9"/>
      <c r="B120" s="62" t="s">
        <v>56</v>
      </c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3">
      <c r="A121" s="9"/>
      <c r="B121" s="53"/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3"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125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7749.7099999999991</v>
      </c>
      <c r="E12" s="4"/>
      <c r="F12" s="12"/>
      <c r="G12" s="4"/>
      <c r="H12" s="4">
        <f>SUM(OSRRefH13x_0)</f>
        <v>17730</v>
      </c>
      <c r="I12" s="4"/>
      <c r="J12" s="12"/>
      <c r="K12" s="4"/>
      <c r="L12" s="4">
        <f t="shared" ref="L12:L17" si="0">+D12-H12</f>
        <v>-9980.2900000000009</v>
      </c>
      <c r="M12" s="4"/>
      <c r="N12" s="12">
        <f t="shared" ref="N12:N17" si="1">IF(H12=0,0,L12/H12)</f>
        <v>-0.56290411731528489</v>
      </c>
      <c r="O12" s="10"/>
      <c r="P12" s="4">
        <f>SUM(OSRRefP13x_0)</f>
        <v>98958.709999999992</v>
      </c>
      <c r="Q12" s="4"/>
      <c r="R12" s="12"/>
      <c r="S12" s="4"/>
      <c r="T12" s="4">
        <f>SUM(OSRRefT13x_0)</f>
        <v>131130</v>
      </c>
      <c r="U12" s="4"/>
      <c r="V12" s="12"/>
      <c r="W12" s="4"/>
      <c r="X12" s="4">
        <f t="shared" ref="X12:X17" si="2">+P12-T12</f>
        <v>-32171.290000000008</v>
      </c>
      <c r="Y12" s="4"/>
      <c r="Z12" s="12">
        <f t="shared" ref="Z12:Z17" si="3">IF(T12=0,0,X12/T12)</f>
        <v>-0.24533890032791891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--4665.65</f>
        <v>4665.6499999999996</v>
      </c>
      <c r="E13" s="2"/>
      <c r="F13" s="19"/>
      <c r="G13" s="2"/>
      <c r="H13" s="2">
        <v>4230</v>
      </c>
      <c r="I13" s="2"/>
      <c r="J13" s="19"/>
      <c r="K13" s="2"/>
      <c r="L13" s="2">
        <f t="shared" si="0"/>
        <v>435.64999999999964</v>
      </c>
      <c r="M13" s="2"/>
      <c r="N13" s="19">
        <f t="shared" si="1"/>
        <v>0.1029905437352245</v>
      </c>
      <c r="O13" s="11"/>
      <c r="P13" s="2">
        <f>--78677.18</f>
        <v>78677.179999999993</v>
      </c>
      <c r="Q13" s="2"/>
      <c r="R13" s="19"/>
      <c r="S13" s="2"/>
      <c r="T13" s="2">
        <v>63430</v>
      </c>
      <c r="U13" s="2"/>
      <c r="V13" s="19"/>
      <c r="W13" s="2"/>
      <c r="X13" s="2">
        <f t="shared" si="2"/>
        <v>15247.179999999993</v>
      </c>
      <c r="Y13" s="2"/>
      <c r="Z13" s="19">
        <f t="shared" si="3"/>
        <v>0.24037805454832087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--3084.06</f>
        <v>3084.06</v>
      </c>
      <c r="E14" s="2"/>
      <c r="F14" s="19"/>
      <c r="G14" s="2"/>
      <c r="H14" s="2">
        <v>13500</v>
      </c>
      <c r="I14" s="2"/>
      <c r="J14" s="19"/>
      <c r="K14" s="2"/>
      <c r="L14" s="2">
        <f t="shared" si="0"/>
        <v>-10415.94</v>
      </c>
      <c r="M14" s="2"/>
      <c r="N14" s="19">
        <f t="shared" si="1"/>
        <v>-0.77155111111111119</v>
      </c>
      <c r="O14" s="11"/>
      <c r="P14" s="2">
        <f>--20684.53</f>
        <v>20684.53</v>
      </c>
      <c r="Q14" s="2"/>
      <c r="R14" s="19"/>
      <c r="S14" s="2"/>
      <c r="T14" s="2">
        <v>67700</v>
      </c>
      <c r="U14" s="2"/>
      <c r="V14" s="19"/>
      <c r="W14" s="2"/>
      <c r="X14" s="2">
        <f t="shared" si="2"/>
        <v>-47015.47</v>
      </c>
      <c r="Y14" s="2"/>
      <c r="Z14" s="19">
        <f t="shared" si="3"/>
        <v>-0.69446779911373713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7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-403</f>
        <v>-403</v>
      </c>
      <c r="Q17" s="2"/>
      <c r="R17" s="19"/>
      <c r="S17" s="2"/>
      <c r="T17" s="2"/>
      <c r="U17" s="2"/>
      <c r="V17" s="19"/>
      <c r="W17" s="2"/>
      <c r="X17" s="2">
        <f t="shared" si="2"/>
        <v>-403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0</v>
      </c>
      <c r="I19" s="4"/>
      <c r="J19" s="12">
        <f t="shared" ref="J19:J21" si="7">IF(H$12=0,0,H19/H$12)</f>
        <v>0</v>
      </c>
      <c r="K19" s="4"/>
      <c r="L19" s="4">
        <f t="shared" ref="L19:L21" si="8">+D19-H19</f>
        <v>0</v>
      </c>
      <c r="M19" s="4"/>
      <c r="N19" s="12">
        <f t="shared" ref="N19:N21" si="9">IF(H19=0,0,L19/H19)</f>
        <v>0</v>
      </c>
      <c r="O19" s="10"/>
      <c r="P19" s="4">
        <f>SUM(OSRRefP16x_0)</f>
        <v>8.26</v>
      </c>
      <c r="Q19" s="4"/>
      <c r="R19" s="12">
        <f t="shared" ref="R19:R21" si="10">IF(P$12=0,0,P19/P$12)</f>
        <v>8.3469155974244218E-5</v>
      </c>
      <c r="S19" s="4"/>
      <c r="T19" s="4">
        <f>SUM(OSRRefT16x_0)</f>
        <v>0</v>
      </c>
      <c r="U19" s="4"/>
      <c r="V19" s="12">
        <f t="shared" ref="V19:V21" si="11">IF(T$12=0,0,T19/T$12)</f>
        <v>0</v>
      </c>
      <c r="W19" s="4"/>
      <c r="X19" s="4">
        <f t="shared" ref="X19:X21" si="12">+P19-T19</f>
        <v>8.26</v>
      </c>
      <c r="Y19" s="4"/>
      <c r="Z19" s="12">
        <f t="shared" ref="Z19:Z21" si="13">IF(T19=0,0,X19/T19)</f>
        <v>0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0</v>
      </c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1"/>
      <c r="P20" s="2"/>
      <c r="Q20" s="2"/>
      <c r="R20" s="19">
        <f t="shared" si="10"/>
        <v>0</v>
      </c>
      <c r="S20" s="2"/>
      <c r="T20" s="2">
        <v>0</v>
      </c>
      <c r="U20" s="2"/>
      <c r="V20" s="19">
        <f t="shared" si="11"/>
        <v>0</v>
      </c>
      <c r="W20" s="2"/>
      <c r="X20" s="2">
        <f t="shared" si="12"/>
        <v>0</v>
      </c>
      <c r="Y20" s="2"/>
      <c r="Z20" s="19">
        <f t="shared" si="13"/>
        <v>0</v>
      </c>
    </row>
    <row r="21" spans="1:26" s="24" customFormat="1" hidden="1" outlineLevel="1" x14ac:dyDescent="0.3">
      <c r="A21" s="44"/>
      <c r="B21" s="11" t="str">
        <f>CONCATENATE("          ", "5500", " - ", "FREIGHT-IN")</f>
        <v xml:space="preserve">          5500 - FREIGHT-IN</v>
      </c>
      <c r="C21" s="11"/>
      <c r="D21" s="2"/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0</v>
      </c>
      <c r="M21" s="2"/>
      <c r="N21" s="19">
        <f t="shared" si="9"/>
        <v>0</v>
      </c>
      <c r="O21" s="11"/>
      <c r="P21" s="2">
        <v>8.26</v>
      </c>
      <c r="Q21" s="2"/>
      <c r="R21" s="19">
        <f t="shared" si="10"/>
        <v>8.3469155974244218E-5</v>
      </c>
      <c r="S21" s="2"/>
      <c r="T21" s="2"/>
      <c r="U21" s="2"/>
      <c r="V21" s="19">
        <f t="shared" si="11"/>
        <v>0</v>
      </c>
      <c r="W21" s="2"/>
      <c r="X21" s="2">
        <f t="shared" si="12"/>
        <v>8.26</v>
      </c>
      <c r="Y21" s="2"/>
      <c r="Z21" s="19">
        <f t="shared" si="13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D12-D19</f>
        <v>7749.7099999999991</v>
      </c>
      <c r="E23" s="13"/>
      <c r="F23" s="22">
        <f>IF(D$12=0,0,D23/D$12)</f>
        <v>1</v>
      </c>
      <c r="G23" s="13"/>
      <c r="H23" s="20">
        <f>H12-H19</f>
        <v>17730</v>
      </c>
      <c r="I23" s="13"/>
      <c r="J23" s="22">
        <f>IF(H$12=0,0,H23/H$12)</f>
        <v>1</v>
      </c>
      <c r="K23" s="16"/>
      <c r="L23" s="20">
        <f>+D23-H23</f>
        <v>-9980.2900000000009</v>
      </c>
      <c r="M23" s="16"/>
      <c r="N23" s="22">
        <f>IF(H23=0,0,L23/H23)</f>
        <v>-0.56290411731528489</v>
      </c>
      <c r="O23" s="25"/>
      <c r="P23" s="20">
        <f>P12-P19</f>
        <v>98950.45</v>
      </c>
      <c r="Q23" s="13"/>
      <c r="R23" s="22">
        <f>IF(P$12=0,0,P23/P$12)</f>
        <v>0.99991653084402576</v>
      </c>
      <c r="S23" s="13"/>
      <c r="T23" s="20">
        <f>T12-T19</f>
        <v>131130</v>
      </c>
      <c r="U23" s="13"/>
      <c r="V23" s="22">
        <f>IF(T$12=0,0,T23/T$12)</f>
        <v>1</v>
      </c>
      <c r="W23" s="16"/>
      <c r="X23" s="20">
        <f>+P23-T23</f>
        <v>-32179.550000000003</v>
      </c>
      <c r="Y23" s="16"/>
      <c r="Z23" s="22">
        <f>IF(T23=0,0,X23/T23)</f>
        <v>-0.24540189125295511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17624.769999999997</v>
      </c>
      <c r="E25" s="21"/>
      <c r="F25" s="32">
        <f t="shared" ref="F25:F35" si="14">IF(D$12=0,0,D25/D$12)</f>
        <v>2.2742489718970127</v>
      </c>
      <c r="G25" s="21"/>
      <c r="H25" s="21">
        <f>SUM(OSRRefH22x_0)</f>
        <v>17989.633819615396</v>
      </c>
      <c r="I25" s="21"/>
      <c r="J25" s="32">
        <f t="shared" ref="J25:J35" si="15">IF(H$12=0,0,H25/H$12)</f>
        <v>1.014643757451517</v>
      </c>
      <c r="K25" s="4"/>
      <c r="L25" s="21">
        <f t="shared" ref="L25:L35" si="16">+D25-H25</f>
        <v>-364.86381961539882</v>
      </c>
      <c r="M25" s="4"/>
      <c r="N25" s="32">
        <f t="shared" ref="N25:N35" si="17">IF(H25=0,0,L25/H25)</f>
        <v>-2.0281892520656063E-2</v>
      </c>
      <c r="O25" s="10"/>
      <c r="P25" s="21">
        <f>SUM(OSRRefP22x_0)</f>
        <v>142997.83999999997</v>
      </c>
      <c r="Q25" s="21"/>
      <c r="R25" s="32">
        <f t="shared" ref="R25:R35" si="18">IF(P$12=0,0,P25/P$12)</f>
        <v>1.4450253039878953</v>
      </c>
      <c r="S25" s="21"/>
      <c r="T25" s="21">
        <f>SUM(OSRRefT22x_0)</f>
        <v>193405.38206019238</v>
      </c>
      <c r="U25" s="21"/>
      <c r="V25" s="32">
        <f t="shared" ref="V25:V35" si="19">IF(T$12=0,0,T25/T$12)</f>
        <v>1.4749133078638936</v>
      </c>
      <c r="W25" s="4"/>
      <c r="X25" s="21">
        <f t="shared" ref="X25:X35" si="20">+P25-T25</f>
        <v>-50407.542060192412</v>
      </c>
      <c r="Y25" s="4"/>
      <c r="Z25" s="32">
        <f t="shared" ref="Z25:Z35" si="21">IF(T25=0,0,X25/T25)</f>
        <v>-0.2606315373607565</v>
      </c>
    </row>
    <row r="26" spans="1:26" s="28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4512.1400000000003</v>
      </c>
      <c r="E26" s="1"/>
      <c r="F26" s="5">
        <f t="shared" si="14"/>
        <v>0.58223339970140831</v>
      </c>
      <c r="G26" s="1"/>
      <c r="H26" s="1">
        <f>SUM(OSRRefH22_0x_0)</f>
        <v>4222.6376657692326</v>
      </c>
      <c r="I26" s="1"/>
      <c r="J26" s="5">
        <f t="shared" si="15"/>
        <v>0.23816343292550662</v>
      </c>
      <c r="K26" s="1"/>
      <c r="L26" s="1">
        <f t="shared" si="16"/>
        <v>289.5023342307677</v>
      </c>
      <c r="M26" s="1"/>
      <c r="N26" s="5">
        <f t="shared" si="17"/>
        <v>6.8559596428937136E-2</v>
      </c>
      <c r="O26" s="14"/>
      <c r="P26" s="1">
        <f>SUM(OSRRefP22_0x_0)</f>
        <v>52347.419999999991</v>
      </c>
      <c r="Q26" s="1"/>
      <c r="R26" s="5">
        <f t="shared" si="18"/>
        <v>0.5289824412626235</v>
      </c>
      <c r="S26" s="1"/>
      <c r="T26" s="1">
        <f>SUM(OSRRefT22_0x_0)</f>
        <v>39644.270521730767</v>
      </c>
      <c r="U26" s="1"/>
      <c r="V26" s="5">
        <f t="shared" si="19"/>
        <v>0.30232799909807645</v>
      </c>
      <c r="W26" s="1"/>
      <c r="X26" s="1">
        <f t="shared" si="20"/>
        <v>12703.149478269224</v>
      </c>
      <c r="Y26" s="1"/>
      <c r="Z26" s="5">
        <f t="shared" si="21"/>
        <v>0.32042838248987504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6">
        <v>690.61</v>
      </c>
      <c r="E27" s="2"/>
      <c r="F27" s="7">
        <f t="shared" si="14"/>
        <v>8.9114302341636017E-2</v>
      </c>
      <c r="G27" s="2"/>
      <c r="H27" s="6">
        <v>704.06716961538496</v>
      </c>
      <c r="I27" s="2"/>
      <c r="J27" s="7">
        <f t="shared" si="15"/>
        <v>3.9710500260315001E-2</v>
      </c>
      <c r="K27" s="2"/>
      <c r="L27" s="6">
        <f t="shared" si="16"/>
        <v>-13.457169615384942</v>
      </c>
      <c r="M27" s="2"/>
      <c r="N27" s="7">
        <f t="shared" si="17"/>
        <v>-1.9113474106080348E-2</v>
      </c>
      <c r="O27" s="11"/>
      <c r="P27" s="6">
        <v>9162.2900000000009</v>
      </c>
      <c r="Q27" s="2"/>
      <c r="R27" s="7">
        <f t="shared" si="18"/>
        <v>9.2586999163590575E-2</v>
      </c>
      <c r="S27" s="2"/>
      <c r="T27" s="6">
        <v>6408.5500851923098</v>
      </c>
      <c r="U27" s="2"/>
      <c r="V27" s="7">
        <f t="shared" si="19"/>
        <v>4.8871730993611757E-2</v>
      </c>
      <c r="W27" s="2"/>
      <c r="X27" s="6">
        <f t="shared" si="20"/>
        <v>2753.7399148076911</v>
      </c>
      <c r="Y27" s="2"/>
      <c r="Z27" s="7">
        <f t="shared" si="21"/>
        <v>0.42969780655542089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172.02</v>
      </c>
      <c r="E28" s="2"/>
      <c r="F28" s="7">
        <f t="shared" si="14"/>
        <v>2.2196959628166736E-2</v>
      </c>
      <c r="G28" s="2"/>
      <c r="H28" s="6">
        <v>150.0702</v>
      </c>
      <c r="I28" s="2"/>
      <c r="J28" s="7">
        <f t="shared" si="15"/>
        <v>8.4641962774957696E-3</v>
      </c>
      <c r="K28" s="2"/>
      <c r="L28" s="6">
        <f t="shared" si="16"/>
        <v>21.94980000000001</v>
      </c>
      <c r="M28" s="2"/>
      <c r="N28" s="7">
        <f t="shared" si="17"/>
        <v>0.14626354865922755</v>
      </c>
      <c r="O28" s="11"/>
      <c r="P28" s="6">
        <v>2010.06</v>
      </c>
      <c r="Q28" s="2"/>
      <c r="R28" s="7">
        <f t="shared" si="18"/>
        <v>2.0312107948860694E-2</v>
      </c>
      <c r="S28" s="2"/>
      <c r="T28" s="6">
        <v>1312.8813</v>
      </c>
      <c r="U28" s="2"/>
      <c r="V28" s="7">
        <f t="shared" si="19"/>
        <v>1.0012059025394647E-2</v>
      </c>
      <c r="W28" s="2"/>
      <c r="X28" s="6">
        <f t="shared" si="20"/>
        <v>697.17869999999994</v>
      </c>
      <c r="Y28" s="2"/>
      <c r="Z28" s="7">
        <f t="shared" si="21"/>
        <v>0.53102949977275171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6">
        <v>1393.42</v>
      </c>
      <c r="E29" s="2"/>
      <c r="F29" s="7">
        <f t="shared" si="14"/>
        <v>0.17980285713917041</v>
      </c>
      <c r="G29" s="2"/>
      <c r="H29" s="6">
        <v>1326</v>
      </c>
      <c r="I29" s="2"/>
      <c r="J29" s="7">
        <f t="shared" si="15"/>
        <v>7.4788494077834181E-2</v>
      </c>
      <c r="K29" s="2"/>
      <c r="L29" s="6">
        <f t="shared" si="16"/>
        <v>67.420000000000073</v>
      </c>
      <c r="M29" s="2"/>
      <c r="N29" s="7">
        <f t="shared" si="17"/>
        <v>5.0844645550527957E-2</v>
      </c>
      <c r="O29" s="11"/>
      <c r="P29" s="6">
        <v>17886.02</v>
      </c>
      <c r="Q29" s="2"/>
      <c r="R29" s="7">
        <f t="shared" si="18"/>
        <v>0.18074225098528468</v>
      </c>
      <c r="S29" s="2"/>
      <c r="T29" s="6">
        <v>12898.5</v>
      </c>
      <c r="U29" s="2"/>
      <c r="V29" s="7">
        <f t="shared" si="19"/>
        <v>9.8364218714253035E-2</v>
      </c>
      <c r="W29" s="2"/>
      <c r="X29" s="6">
        <f t="shared" si="20"/>
        <v>4987.5200000000004</v>
      </c>
      <c r="Y29" s="2"/>
      <c r="Z29" s="7">
        <f t="shared" si="21"/>
        <v>0.38667441950614417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30.22</v>
      </c>
      <c r="E30" s="2"/>
      <c r="F30" s="7">
        <f t="shared" si="14"/>
        <v>3.8995007555121422E-3</v>
      </c>
      <c r="G30" s="2"/>
      <c r="H30" s="6">
        <v>20.201757692307702</v>
      </c>
      <c r="I30" s="2"/>
      <c r="J30" s="7">
        <f t="shared" si="15"/>
        <v>1.1394110373552002E-3</v>
      </c>
      <c r="K30" s="2"/>
      <c r="L30" s="6">
        <f t="shared" si="16"/>
        <v>10.018242307692297</v>
      </c>
      <c r="M30" s="2"/>
      <c r="N30" s="7">
        <f t="shared" si="17"/>
        <v>0.49590943819244898</v>
      </c>
      <c r="O30" s="11"/>
      <c r="P30" s="6">
        <v>353.12</v>
      </c>
      <c r="Q30" s="2"/>
      <c r="R30" s="7">
        <f t="shared" si="18"/>
        <v>3.5683569440224114E-3</v>
      </c>
      <c r="S30" s="2"/>
      <c r="T30" s="6">
        <v>176.73402115384599</v>
      </c>
      <c r="U30" s="2"/>
      <c r="V30" s="7">
        <f t="shared" si="19"/>
        <v>1.3477771764954319E-3</v>
      </c>
      <c r="W30" s="2"/>
      <c r="X30" s="6">
        <f t="shared" si="20"/>
        <v>176.38597884615402</v>
      </c>
      <c r="Y30" s="2"/>
      <c r="Z30" s="7">
        <f t="shared" si="21"/>
        <v>0.99803070000094096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6">
        <v>810.13</v>
      </c>
      <c r="E31" s="2"/>
      <c r="F31" s="7">
        <f t="shared" si="14"/>
        <v>0.10453681492597788</v>
      </c>
      <c r="G31" s="2"/>
      <c r="H31" s="6">
        <v>762.81007692307799</v>
      </c>
      <c r="I31" s="2"/>
      <c r="J31" s="7">
        <f t="shared" si="15"/>
        <v>4.3023693001865648E-2</v>
      </c>
      <c r="K31" s="2"/>
      <c r="L31" s="6">
        <f t="shared" si="16"/>
        <v>47.319923076922009</v>
      </c>
      <c r="M31" s="2"/>
      <c r="N31" s="7">
        <f t="shared" si="17"/>
        <v>6.2033688998701791E-2</v>
      </c>
      <c r="O31" s="11"/>
      <c r="P31" s="6">
        <v>11646.04</v>
      </c>
      <c r="Q31" s="2"/>
      <c r="R31" s="7">
        <f t="shared" si="18"/>
        <v>0.11768585099785558</v>
      </c>
      <c r="S31" s="2"/>
      <c r="T31" s="6">
        <v>6775.8589615384599</v>
      </c>
      <c r="U31" s="2"/>
      <c r="V31" s="7">
        <f t="shared" si="19"/>
        <v>5.1672835823522154E-2</v>
      </c>
      <c r="W31" s="2"/>
      <c r="X31" s="6">
        <f t="shared" si="20"/>
        <v>4870.181038461541</v>
      </c>
      <c r="Y31" s="2"/>
      <c r="Z31" s="7">
        <f t="shared" si="21"/>
        <v>0.7187547831361244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4"/>
        <v>0</v>
      </c>
      <c r="G32" s="2"/>
      <c r="H32" s="6">
        <v>0</v>
      </c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/>
      <c r="Q32" s="2"/>
      <c r="R32" s="7">
        <f t="shared" si="18"/>
        <v>0</v>
      </c>
      <c r="S32" s="2"/>
      <c r="T32" s="6">
        <v>0</v>
      </c>
      <c r="U32" s="2"/>
      <c r="V32" s="7">
        <f t="shared" si="19"/>
        <v>0</v>
      </c>
      <c r="W32" s="2"/>
      <c r="X32" s="6">
        <f t="shared" si="20"/>
        <v>0</v>
      </c>
      <c r="Y32" s="2"/>
      <c r="Z32" s="7">
        <f t="shared" si="21"/>
        <v>0</v>
      </c>
    </row>
    <row r="33" spans="1:26" s="24" customFormat="1" hidden="1" outlineLevel="2" x14ac:dyDescent="0.3">
      <c r="A33" s="29"/>
      <c r="B33" s="11" t="str">
        <f>CONCATENATE("          ", "6118", " - ", "VACATION")</f>
        <v xml:space="preserve">          6118 - VACATION</v>
      </c>
      <c r="C33" s="11"/>
      <c r="D33" s="6">
        <v>639.32000000000005</v>
      </c>
      <c r="E33" s="2"/>
      <c r="F33" s="7">
        <f t="shared" si="14"/>
        <v>8.2495990172535505E-2</v>
      </c>
      <c r="G33" s="2"/>
      <c r="H33" s="6">
        <v>620.89192307692304</v>
      </c>
      <c r="I33" s="2"/>
      <c r="J33" s="7">
        <f t="shared" si="15"/>
        <v>3.5019285001518505E-2</v>
      </c>
      <c r="K33" s="2"/>
      <c r="L33" s="6">
        <f t="shared" si="16"/>
        <v>18.428076923077015</v>
      </c>
      <c r="M33" s="2"/>
      <c r="N33" s="7">
        <f t="shared" si="17"/>
        <v>2.9680007483031696E-2</v>
      </c>
      <c r="O33" s="11"/>
      <c r="P33" s="6">
        <v>5242.5600000000004</v>
      </c>
      <c r="Q33" s="2"/>
      <c r="R33" s="7">
        <f t="shared" si="18"/>
        <v>5.2977246772921767E-2</v>
      </c>
      <c r="S33" s="2"/>
      <c r="T33" s="6">
        <v>6149.2782692307601</v>
      </c>
      <c r="U33" s="2"/>
      <c r="V33" s="7">
        <f t="shared" si="19"/>
        <v>4.6894518944793413E-2</v>
      </c>
      <c r="W33" s="2"/>
      <c r="X33" s="6">
        <f t="shared" si="20"/>
        <v>-906.71826923075969</v>
      </c>
      <c r="Y33" s="2"/>
      <c r="Z33" s="7">
        <f t="shared" si="21"/>
        <v>-0.14745116898802907</v>
      </c>
    </row>
    <row r="34" spans="1:26" s="24" customFormat="1" hidden="1" outlineLevel="2" x14ac:dyDescent="0.3">
      <c r="A34" s="29"/>
      <c r="B34" s="11" t="str">
        <f>CONCATENATE("          ", "6119", " - ", "SICK LEAVE")</f>
        <v xml:space="preserve">          6119 - SICK LEAVE</v>
      </c>
      <c r="C34" s="11"/>
      <c r="D34" s="6">
        <v>410.1</v>
      </c>
      <c r="E34" s="2"/>
      <c r="F34" s="7">
        <f t="shared" si="14"/>
        <v>5.2918109193763385E-2</v>
      </c>
      <c r="G34" s="2"/>
      <c r="H34" s="6">
        <v>288.59653846153901</v>
      </c>
      <c r="I34" s="2"/>
      <c r="J34" s="7">
        <f t="shared" si="15"/>
        <v>1.6277300533645744E-2</v>
      </c>
      <c r="K34" s="2"/>
      <c r="L34" s="6">
        <f t="shared" si="16"/>
        <v>121.50346153846101</v>
      </c>
      <c r="M34" s="2"/>
      <c r="N34" s="7">
        <f t="shared" si="17"/>
        <v>0.42101496499637908</v>
      </c>
      <c r="O34" s="11"/>
      <c r="P34" s="6">
        <v>3455.13</v>
      </c>
      <c r="Q34" s="2"/>
      <c r="R34" s="7">
        <f t="shared" si="18"/>
        <v>3.4914864997734919E-2</v>
      </c>
      <c r="S34" s="2"/>
      <c r="T34" s="6">
        <v>2947.4678846153902</v>
      </c>
      <c r="U34" s="2"/>
      <c r="V34" s="7">
        <f t="shared" si="19"/>
        <v>2.247744897899329E-2</v>
      </c>
      <c r="W34" s="2"/>
      <c r="X34" s="6">
        <f t="shared" si="20"/>
        <v>507.66211538460993</v>
      </c>
      <c r="Y34" s="2"/>
      <c r="Z34" s="7">
        <f t="shared" si="21"/>
        <v>0.1722366910372134</v>
      </c>
    </row>
    <row r="35" spans="1:26" s="24" customFormat="1" hidden="1" outlineLevel="2" x14ac:dyDescent="0.3">
      <c r="A35" s="29"/>
      <c r="B35" s="11" t="str">
        <f>CONCATENATE("          ", "6156", " - ", "EMPLOYEE MEALS")</f>
        <v xml:space="preserve">          6156 - EMPLOYEE MEALS</v>
      </c>
      <c r="C35" s="11"/>
      <c r="D35" s="6">
        <v>366.32</v>
      </c>
      <c r="E35" s="2"/>
      <c r="F35" s="7">
        <f t="shared" si="14"/>
        <v>4.7268865544646189E-2</v>
      </c>
      <c r="G35" s="2"/>
      <c r="H35" s="6">
        <v>350</v>
      </c>
      <c r="I35" s="2"/>
      <c r="J35" s="7">
        <f t="shared" si="15"/>
        <v>1.9740552735476594E-2</v>
      </c>
      <c r="K35" s="2"/>
      <c r="L35" s="6">
        <f t="shared" si="16"/>
        <v>16.319999999999993</v>
      </c>
      <c r="M35" s="2"/>
      <c r="N35" s="7">
        <f t="shared" si="17"/>
        <v>4.6628571428571408E-2</v>
      </c>
      <c r="O35" s="11"/>
      <c r="P35" s="6">
        <v>2592.1999999999998</v>
      </c>
      <c r="Q35" s="2"/>
      <c r="R35" s="7">
        <f t="shared" si="18"/>
        <v>2.6194763452353009E-2</v>
      </c>
      <c r="S35" s="2"/>
      <c r="T35" s="6">
        <v>2975</v>
      </c>
      <c r="U35" s="2"/>
      <c r="V35" s="7">
        <f t="shared" si="19"/>
        <v>2.2687409441012735E-2</v>
      </c>
      <c r="W35" s="2"/>
      <c r="X35" s="6">
        <f t="shared" si="20"/>
        <v>-382.80000000000018</v>
      </c>
      <c r="Y35" s="2"/>
      <c r="Z35" s="7">
        <f t="shared" si="21"/>
        <v>-0.12867226890756309</v>
      </c>
    </row>
    <row r="36" spans="1:26" s="28" customFormat="1" outlineLevel="1" collapsed="1" x14ac:dyDescent="0.3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10711.42</v>
      </c>
      <c r="E36" s="1"/>
      <c r="F36" s="5">
        <f t="shared" ref="F36:F46" si="22">IF(D$12=0,0,D36/D$12)</f>
        <v>1.3821704296031725</v>
      </c>
      <c r="G36" s="1"/>
      <c r="H36" s="1">
        <f>SUM(OSRRefH22_1x_0)</f>
        <v>8761.9961538461594</v>
      </c>
      <c r="I36" s="1"/>
      <c r="J36" s="5">
        <f t="shared" ref="J36:J46" si="23">IF(H$12=0,0,H36/H$12)</f>
        <v>0.49419042040869482</v>
      </c>
      <c r="K36" s="1"/>
      <c r="L36" s="1">
        <f t="shared" ref="L36:L46" si="24">+D36-H36</f>
        <v>1949.4238461538407</v>
      </c>
      <c r="M36" s="1"/>
      <c r="N36" s="5">
        <f t="shared" ref="N36:N46" si="25">IF(H36=0,0,L36/H36)</f>
        <v>0.22248627047138375</v>
      </c>
      <c r="O36" s="14"/>
      <c r="P36" s="1">
        <f>SUM(OSRRefP22_1x_0)</f>
        <v>88061.58</v>
      </c>
      <c r="Q36" s="1"/>
      <c r="R36" s="5">
        <f t="shared" ref="R36:R46" si="26">IF(P$12=0,0,P36/P$12)</f>
        <v>0.88988205282789168</v>
      </c>
      <c r="S36" s="1"/>
      <c r="T36" s="1">
        <f>SUM(OSRRefT22_1x_0)</f>
        <v>75391.111538461613</v>
      </c>
      <c r="U36" s="1"/>
      <c r="V36" s="5">
        <f t="shared" ref="V36:V46" si="27">IF(T$12=0,0,T36/T$12)</f>
        <v>0.57493412291971036</v>
      </c>
      <c r="W36" s="1"/>
      <c r="X36" s="1">
        <f t="shared" ref="X36:X46" si="28">+P36-T36</f>
        <v>12670.468461538389</v>
      </c>
      <c r="Y36" s="1"/>
      <c r="Z36" s="5">
        <f t="shared" ref="Z36:Z46" si="29">IF(T36=0,0,X36/T36)</f>
        <v>0.16806316027154486</v>
      </c>
    </row>
    <row r="37" spans="1:26" s="24" customFormat="1" hidden="1" outlineLevel="2" x14ac:dyDescent="0.3">
      <c r="A37" s="29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3">
      <c r="A38" s="29"/>
      <c r="B38" s="11" t="str">
        <f>CONCATENATE("          ", "6002", " - ", "STAFF SALARIES")</f>
        <v xml:space="preserve">          6002 - STAFF SALARIES</v>
      </c>
      <c r="C38" s="11"/>
      <c r="D38" s="6">
        <v>7763.16</v>
      </c>
      <c r="E38" s="2"/>
      <c r="F38" s="7">
        <f t="shared" si="22"/>
        <v>1.0017355488140847</v>
      </c>
      <c r="G38" s="2"/>
      <c r="H38" s="6">
        <v>7982.8961538461599</v>
      </c>
      <c r="I38" s="2"/>
      <c r="J38" s="7">
        <f t="shared" si="23"/>
        <v>0.45024795001952395</v>
      </c>
      <c r="K38" s="2"/>
      <c r="L38" s="6">
        <f t="shared" si="24"/>
        <v>-219.73615384616005</v>
      </c>
      <c r="M38" s="2"/>
      <c r="N38" s="7">
        <f t="shared" si="25"/>
        <v>-2.7525869009368379E-2</v>
      </c>
      <c r="O38" s="11"/>
      <c r="P38" s="6">
        <v>74024.17</v>
      </c>
      <c r="Q38" s="2"/>
      <c r="R38" s="7">
        <f t="shared" si="26"/>
        <v>0.74803087065302287</v>
      </c>
      <c r="S38" s="2"/>
      <c r="T38" s="6">
        <v>69853.411538461602</v>
      </c>
      <c r="U38" s="2"/>
      <c r="V38" s="7">
        <f t="shared" si="27"/>
        <v>0.53270351207550981</v>
      </c>
      <c r="W38" s="2"/>
      <c r="X38" s="6">
        <f t="shared" si="28"/>
        <v>4170.7584615383967</v>
      </c>
      <c r="Y38" s="2"/>
      <c r="Z38" s="7">
        <f t="shared" si="29"/>
        <v>5.9707298035715242E-2</v>
      </c>
    </row>
    <row r="39" spans="1:26" s="24" customFormat="1" hidden="1" outlineLevel="2" x14ac:dyDescent="0.3">
      <c r="A39" s="29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9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2"/>
        <v>0</v>
      </c>
      <c r="G40" s="2"/>
      <c r="H40" s="6">
        <v>346.5</v>
      </c>
      <c r="I40" s="2"/>
      <c r="J40" s="7">
        <f t="shared" si="23"/>
        <v>1.9543147208121829E-2</v>
      </c>
      <c r="K40" s="2"/>
      <c r="L40" s="6">
        <f t="shared" si="24"/>
        <v>-346.5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346.5</v>
      </c>
      <c r="U40" s="2"/>
      <c r="V40" s="7">
        <f t="shared" si="27"/>
        <v>2.6424159231297185E-3</v>
      </c>
      <c r="W40" s="2"/>
      <c r="X40" s="6">
        <f t="shared" si="28"/>
        <v>-346.5</v>
      </c>
      <c r="Y40" s="2"/>
      <c r="Z40" s="7">
        <f t="shared" si="29"/>
        <v>-1</v>
      </c>
    </row>
    <row r="41" spans="1:26" s="24" customFormat="1" hidden="1" outlineLevel="2" x14ac:dyDescent="0.3">
      <c r="A41" s="29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3">
      <c r="A42" s="29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3">
      <c r="A43" s="29"/>
      <c r="B43" s="11" t="str">
        <f>CONCATENATE("          ", "6007", " - ", "STUDENT HOURLY")</f>
        <v xml:space="preserve">          6007 - STUDENT HOURLY</v>
      </c>
      <c r="C43" s="11"/>
      <c r="D43" s="6">
        <v>2948.26</v>
      </c>
      <c r="E43" s="2"/>
      <c r="F43" s="7">
        <f t="shared" si="22"/>
        <v>0.38043488078908766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2948.26</v>
      </c>
      <c r="M43" s="2"/>
      <c r="N43" s="7">
        <f t="shared" si="25"/>
        <v>0</v>
      </c>
      <c r="O43" s="11"/>
      <c r="P43" s="6">
        <v>14037.41</v>
      </c>
      <c r="Q43" s="2"/>
      <c r="R43" s="7">
        <f t="shared" si="26"/>
        <v>0.1418511821748687</v>
      </c>
      <c r="S43" s="2"/>
      <c r="T43" s="6">
        <v>4758.6000000000004</v>
      </c>
      <c r="U43" s="2"/>
      <c r="V43" s="7">
        <f t="shared" si="27"/>
        <v>3.6289178677648137E-2</v>
      </c>
      <c r="W43" s="2"/>
      <c r="X43" s="6">
        <f t="shared" si="28"/>
        <v>9278.81</v>
      </c>
      <c r="Y43" s="2"/>
      <c r="Z43" s="7">
        <f t="shared" si="29"/>
        <v>1.9499033329130413</v>
      </c>
    </row>
    <row r="44" spans="1:26" s="24" customFormat="1" hidden="1" outlineLevel="2" x14ac:dyDescent="0.3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2"/>
        <v>0</v>
      </c>
      <c r="G44" s="2"/>
      <c r="H44" s="6">
        <v>432.6</v>
      </c>
      <c r="I44" s="2"/>
      <c r="J44" s="7">
        <f t="shared" si="23"/>
        <v>2.4399323181049072E-2</v>
      </c>
      <c r="K44" s="2"/>
      <c r="L44" s="6">
        <f t="shared" si="24"/>
        <v>-432.6</v>
      </c>
      <c r="M44" s="2"/>
      <c r="N44" s="7">
        <f t="shared" si="25"/>
        <v>-1</v>
      </c>
      <c r="O44" s="11"/>
      <c r="P44" s="6"/>
      <c r="Q44" s="2"/>
      <c r="R44" s="7">
        <f t="shared" si="26"/>
        <v>0</v>
      </c>
      <c r="S44" s="2"/>
      <c r="T44" s="6">
        <v>432.6</v>
      </c>
      <c r="U44" s="2"/>
      <c r="V44" s="7">
        <f t="shared" si="27"/>
        <v>3.2990162434225578E-3</v>
      </c>
      <c r="W44" s="2"/>
      <c r="X44" s="6">
        <f t="shared" si="28"/>
        <v>-432.6</v>
      </c>
      <c r="Y44" s="2"/>
      <c r="Z44" s="7">
        <f t="shared" si="29"/>
        <v>-1</v>
      </c>
    </row>
    <row r="45" spans="1:26" s="24" customFormat="1" hidden="1" outlineLevel="2" x14ac:dyDescent="0.3">
      <c r="A45" s="29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2"/>
        <v>0</v>
      </c>
      <c r="G45" s="2"/>
      <c r="H45" s="6">
        <v>0</v>
      </c>
      <c r="I45" s="2"/>
      <c r="J45" s="7">
        <f t="shared" si="23"/>
        <v>0</v>
      </c>
      <c r="K45" s="2"/>
      <c r="L45" s="6">
        <f t="shared" si="24"/>
        <v>0</v>
      </c>
      <c r="M45" s="2"/>
      <c r="N45" s="7">
        <f t="shared" si="25"/>
        <v>0</v>
      </c>
      <c r="O45" s="11"/>
      <c r="P45" s="6"/>
      <c r="Q45" s="2"/>
      <c r="R45" s="7">
        <f t="shared" si="26"/>
        <v>0</v>
      </c>
      <c r="S45" s="2"/>
      <c r="T45" s="6">
        <v>0</v>
      </c>
      <c r="U45" s="2"/>
      <c r="V45" s="7">
        <f t="shared" si="27"/>
        <v>0</v>
      </c>
      <c r="W45" s="2"/>
      <c r="X45" s="6">
        <f t="shared" si="28"/>
        <v>0</v>
      </c>
      <c r="Y45" s="2"/>
      <c r="Z45" s="7">
        <f t="shared" si="29"/>
        <v>0</v>
      </c>
    </row>
    <row r="46" spans="1:26" s="24" customFormat="1" hidden="1" outlineLevel="2" x14ac:dyDescent="0.3">
      <c r="A46" s="29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2"/>
        <v>0</v>
      </c>
      <c r="G46" s="2"/>
      <c r="H46" s="6">
        <v>0</v>
      </c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/>
      <c r="Q46" s="2"/>
      <c r="R46" s="7">
        <f t="shared" si="26"/>
        <v>0</v>
      </c>
      <c r="S46" s="2"/>
      <c r="T46" s="6">
        <v>0</v>
      </c>
      <c r="U46" s="2"/>
      <c r="V46" s="7">
        <f t="shared" si="27"/>
        <v>0</v>
      </c>
      <c r="W46" s="2"/>
      <c r="X46" s="6">
        <f t="shared" si="28"/>
        <v>0</v>
      </c>
      <c r="Y46" s="2"/>
      <c r="Z46" s="7">
        <f t="shared" si="29"/>
        <v>0</v>
      </c>
    </row>
    <row r="47" spans="1:26" s="28" customFormat="1" outlineLevel="1" collapsed="1" x14ac:dyDescent="0.3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30">IF(D$12=0,0,D47/D$12)</f>
        <v>0</v>
      </c>
      <c r="G47" s="1"/>
      <c r="H47" s="1">
        <f>SUM(OSRRefH22_2x_0)</f>
        <v>50</v>
      </c>
      <c r="I47" s="1"/>
      <c r="J47" s="5">
        <f t="shared" ref="J47:J55" si="31">IF(H$12=0,0,H47/H$12)</f>
        <v>2.8200789622109417E-3</v>
      </c>
      <c r="K47" s="1"/>
      <c r="L47" s="1">
        <f t="shared" ref="L47:L55" si="32">+D47-H47</f>
        <v>-50</v>
      </c>
      <c r="M47" s="1"/>
      <c r="N47" s="5">
        <f t="shared" ref="N47:N55" si="33">IF(H47=0,0,L47/H47)</f>
        <v>-1</v>
      </c>
      <c r="O47" s="14"/>
      <c r="P47" s="1">
        <f>SUM(OSRRefP22_2x_0)</f>
        <v>97.75</v>
      </c>
      <c r="Q47" s="1"/>
      <c r="R47" s="5">
        <f t="shared" ref="R47:R55" si="34">IF(P$12=0,0,P47/P$12)</f>
        <v>9.8778571385985136E-4</v>
      </c>
      <c r="S47" s="1"/>
      <c r="T47" s="1">
        <f>SUM(OSRRefT22_2x_0)</f>
        <v>300</v>
      </c>
      <c r="U47" s="1"/>
      <c r="V47" s="5">
        <f t="shared" ref="V47:V55" si="35">IF(T$12=0,0,T47/T$12)</f>
        <v>2.2878059940517046E-3</v>
      </c>
      <c r="W47" s="1"/>
      <c r="X47" s="1">
        <f t="shared" ref="X47:X55" si="36">+P47-T47</f>
        <v>-202.25</v>
      </c>
      <c r="Y47" s="1"/>
      <c r="Z47" s="5">
        <f t="shared" ref="Z47:Z55" si="37">IF(T47=0,0,X47/T47)</f>
        <v>-0.67416666666666669</v>
      </c>
    </row>
    <row r="48" spans="1:26" s="24" customFormat="1" hidden="1" outlineLevel="2" x14ac:dyDescent="0.3">
      <c r="A48" s="29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30"/>
        <v>0</v>
      </c>
      <c r="G48" s="2"/>
      <c r="H48" s="6">
        <v>50</v>
      </c>
      <c r="I48" s="2"/>
      <c r="J48" s="7">
        <f t="shared" si="31"/>
        <v>2.8200789622109417E-3</v>
      </c>
      <c r="K48" s="2"/>
      <c r="L48" s="6">
        <f t="shared" si="32"/>
        <v>-50</v>
      </c>
      <c r="M48" s="2"/>
      <c r="N48" s="7">
        <f t="shared" si="33"/>
        <v>-1</v>
      </c>
      <c r="O48" s="11"/>
      <c r="P48" s="6">
        <v>97.75</v>
      </c>
      <c r="Q48" s="2"/>
      <c r="R48" s="7">
        <f t="shared" si="34"/>
        <v>9.8778571385985136E-4</v>
      </c>
      <c r="S48" s="2"/>
      <c r="T48" s="6">
        <v>300</v>
      </c>
      <c r="U48" s="2"/>
      <c r="V48" s="7">
        <f t="shared" si="35"/>
        <v>2.2878059940517046E-3</v>
      </c>
      <c r="W48" s="2"/>
      <c r="X48" s="6">
        <f t="shared" si="36"/>
        <v>-202.25</v>
      </c>
      <c r="Y48" s="2"/>
      <c r="Z48" s="7">
        <f t="shared" si="37"/>
        <v>-0.67416666666666669</v>
      </c>
    </row>
    <row r="49" spans="1:26" s="28" customFormat="1" outlineLevel="1" collapsed="1" x14ac:dyDescent="0.3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SUM(OSRRefD22_3x_0)</f>
        <v>169.88</v>
      </c>
      <c r="E49" s="1"/>
      <c r="F49" s="5">
        <f t="shared" si="30"/>
        <v>2.1920820262951776E-2</v>
      </c>
      <c r="G49" s="1"/>
      <c r="H49" s="1">
        <f>SUM(OSRRefH22_3x_0)</f>
        <v>170</v>
      </c>
      <c r="I49" s="1"/>
      <c r="J49" s="5">
        <f t="shared" si="31"/>
        <v>9.5882684715172025E-3</v>
      </c>
      <c r="K49" s="1"/>
      <c r="L49" s="1">
        <f t="shared" si="32"/>
        <v>-0.12000000000000455</v>
      </c>
      <c r="M49" s="1"/>
      <c r="N49" s="5">
        <f t="shared" si="33"/>
        <v>-7.0588235294120319E-4</v>
      </c>
      <c r="O49" s="14"/>
      <c r="P49" s="1">
        <f>SUM(OSRRefP22_3x_0)</f>
        <v>1019.28</v>
      </c>
      <c r="Q49" s="1"/>
      <c r="R49" s="5">
        <f t="shared" si="34"/>
        <v>1.030005342632296E-2</v>
      </c>
      <c r="S49" s="1"/>
      <c r="T49" s="1">
        <f>SUM(OSRRefT22_3x_0)</f>
        <v>1020</v>
      </c>
      <c r="U49" s="1"/>
      <c r="V49" s="5">
        <f t="shared" si="35"/>
        <v>7.7785403797757946E-3</v>
      </c>
      <c r="W49" s="1"/>
      <c r="X49" s="1">
        <f t="shared" si="36"/>
        <v>-0.72000000000002728</v>
      </c>
      <c r="Y49" s="1"/>
      <c r="Z49" s="5">
        <f t="shared" si="37"/>
        <v>-7.0588235294120319E-4</v>
      </c>
    </row>
    <row r="50" spans="1:26" s="24" customFormat="1" hidden="1" outlineLevel="2" x14ac:dyDescent="0.3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169.88</v>
      </c>
      <c r="E50" s="2"/>
      <c r="F50" s="7">
        <f t="shared" si="30"/>
        <v>2.1920820262951776E-2</v>
      </c>
      <c r="G50" s="2"/>
      <c r="H50" s="6">
        <v>170</v>
      </c>
      <c r="I50" s="2"/>
      <c r="J50" s="7">
        <f t="shared" si="31"/>
        <v>9.5882684715172025E-3</v>
      </c>
      <c r="K50" s="2"/>
      <c r="L50" s="6">
        <f t="shared" si="32"/>
        <v>-0.12000000000000455</v>
      </c>
      <c r="M50" s="2"/>
      <c r="N50" s="7">
        <f t="shared" si="33"/>
        <v>-7.0588235294120319E-4</v>
      </c>
      <c r="O50" s="11"/>
      <c r="P50" s="6">
        <v>1019.28</v>
      </c>
      <c r="Q50" s="2"/>
      <c r="R50" s="7">
        <f t="shared" si="34"/>
        <v>1.030005342632296E-2</v>
      </c>
      <c r="S50" s="2"/>
      <c r="T50" s="6">
        <v>1020</v>
      </c>
      <c r="U50" s="2"/>
      <c r="V50" s="7">
        <f t="shared" si="35"/>
        <v>7.7785403797757946E-3</v>
      </c>
      <c r="W50" s="2"/>
      <c r="X50" s="6">
        <f t="shared" si="36"/>
        <v>-0.72000000000002728</v>
      </c>
      <c r="Y50" s="2"/>
      <c r="Z50" s="7">
        <f t="shared" si="37"/>
        <v>-7.0588235294120319E-4</v>
      </c>
    </row>
    <row r="51" spans="1:26" s="28" customFormat="1" outlineLevel="1" collapsed="1" x14ac:dyDescent="0.3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SUM(OSRRefD22_4x_0)</f>
        <v>1205.6400000000001</v>
      </c>
      <c r="E51" s="1"/>
      <c r="F51" s="5">
        <f t="shared" si="30"/>
        <v>0.15557227302699073</v>
      </c>
      <c r="G51" s="1"/>
      <c r="H51" s="1">
        <f>SUM(OSRRefH22_4x_0)</f>
        <v>1300</v>
      </c>
      <c r="I51" s="1"/>
      <c r="J51" s="5">
        <f t="shared" si="31"/>
        <v>7.3322053017484484E-2</v>
      </c>
      <c r="K51" s="1"/>
      <c r="L51" s="1">
        <f t="shared" si="32"/>
        <v>-94.3599999999999</v>
      </c>
      <c r="M51" s="1"/>
      <c r="N51" s="5">
        <f t="shared" si="33"/>
        <v>-7.2584615384615303E-2</v>
      </c>
      <c r="O51" s="14"/>
      <c r="P51" s="1">
        <f>SUM(OSRRefP22_4x_0)</f>
        <v>7233.84</v>
      </c>
      <c r="Q51" s="1"/>
      <c r="R51" s="5">
        <f t="shared" si="34"/>
        <v>7.3099578602025039E-2</v>
      </c>
      <c r="S51" s="1"/>
      <c r="T51" s="1">
        <f>SUM(OSRRefT22_4x_0)</f>
        <v>7600</v>
      </c>
      <c r="U51" s="1"/>
      <c r="V51" s="5">
        <f t="shared" si="35"/>
        <v>5.7957751849309846E-2</v>
      </c>
      <c r="W51" s="1"/>
      <c r="X51" s="1">
        <f t="shared" si="36"/>
        <v>-366.15999999999985</v>
      </c>
      <c r="Y51" s="1"/>
      <c r="Z51" s="5">
        <f t="shared" si="37"/>
        <v>-4.8178947368421036E-2</v>
      </c>
    </row>
    <row r="52" spans="1:26" s="24" customFormat="1" hidden="1" outlineLevel="2" x14ac:dyDescent="0.3">
      <c r="A52" s="29"/>
      <c r="B52" s="11" t="str">
        <f>CONCATENATE("          ", "6351", " - ", "EQUIPMENT RENTAL")</f>
        <v xml:space="preserve">          6351 - EQUIPMENT RENTAL</v>
      </c>
      <c r="C52" s="11"/>
      <c r="D52" s="6">
        <v>1205.6400000000001</v>
      </c>
      <c r="E52" s="2"/>
      <c r="F52" s="7">
        <f t="shared" si="30"/>
        <v>0.15557227302699073</v>
      </c>
      <c r="G52" s="2"/>
      <c r="H52" s="6">
        <v>1300</v>
      </c>
      <c r="I52" s="2"/>
      <c r="J52" s="7">
        <f t="shared" si="31"/>
        <v>7.3322053017484484E-2</v>
      </c>
      <c r="K52" s="2"/>
      <c r="L52" s="6">
        <f t="shared" si="32"/>
        <v>-94.3599999999999</v>
      </c>
      <c r="M52" s="2"/>
      <c r="N52" s="7">
        <f t="shared" si="33"/>
        <v>-7.2584615384615303E-2</v>
      </c>
      <c r="O52" s="11"/>
      <c r="P52" s="6">
        <v>7233.84</v>
      </c>
      <c r="Q52" s="2"/>
      <c r="R52" s="7">
        <f t="shared" si="34"/>
        <v>7.3099578602025039E-2</v>
      </c>
      <c r="S52" s="2"/>
      <c r="T52" s="6">
        <v>7600</v>
      </c>
      <c r="U52" s="2"/>
      <c r="V52" s="7">
        <f t="shared" si="35"/>
        <v>5.7957751849309846E-2</v>
      </c>
      <c r="W52" s="2"/>
      <c r="X52" s="6">
        <f t="shared" si="36"/>
        <v>-366.15999999999985</v>
      </c>
      <c r="Y52" s="2"/>
      <c r="Z52" s="7">
        <f t="shared" si="37"/>
        <v>-4.8178947368421036E-2</v>
      </c>
    </row>
    <row r="53" spans="1:26" s="28" customFormat="1" outlineLevel="1" collapsed="1" x14ac:dyDescent="0.3">
      <c r="A53" s="27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SUM(OSRRefD22_5x_0)</f>
        <v>-4174.8600000000006</v>
      </c>
      <c r="E53" s="1"/>
      <c r="F53" s="5">
        <f t="shared" si="30"/>
        <v>-0.53871177115014635</v>
      </c>
      <c r="G53" s="1"/>
      <c r="H53" s="1">
        <f>SUM(OSRRefH22_5x_0)</f>
        <v>-1700</v>
      </c>
      <c r="I53" s="1"/>
      <c r="J53" s="5">
        <f t="shared" si="31"/>
        <v>-9.5882684715172029E-2</v>
      </c>
      <c r="K53" s="1"/>
      <c r="L53" s="1">
        <f t="shared" si="32"/>
        <v>-2474.8600000000006</v>
      </c>
      <c r="M53" s="1"/>
      <c r="N53" s="5">
        <f t="shared" si="33"/>
        <v>1.4558000000000004</v>
      </c>
      <c r="O53" s="14"/>
      <c r="P53" s="1">
        <f>SUM(OSRRefP22_5x_0)</f>
        <v>-47148.020000000004</v>
      </c>
      <c r="Q53" s="1"/>
      <c r="R53" s="5">
        <f t="shared" si="34"/>
        <v>-0.47644133598750438</v>
      </c>
      <c r="S53" s="1"/>
      <c r="T53" s="1">
        <f>SUM(OSRRefT22_5x_0)</f>
        <v>-200</v>
      </c>
      <c r="U53" s="1"/>
      <c r="V53" s="5">
        <f t="shared" si="35"/>
        <v>-1.5252039960344697E-3</v>
      </c>
      <c r="W53" s="1"/>
      <c r="X53" s="1">
        <f t="shared" si="36"/>
        <v>-46948.020000000004</v>
      </c>
      <c r="Y53" s="1"/>
      <c r="Z53" s="5">
        <f t="shared" si="37"/>
        <v>234.74010000000001</v>
      </c>
    </row>
    <row r="54" spans="1:26" s="24" customFormat="1" hidden="1" outlineLevel="2" x14ac:dyDescent="0.3">
      <c r="A54" s="29"/>
      <c r="B54" s="11" t="str">
        <f>CONCATENATE("          ", "6305", " - ", "FREIGHT OUT")</f>
        <v xml:space="preserve">          6305 - FREIGHT OUT</v>
      </c>
      <c r="C54" s="11"/>
      <c r="D54" s="6">
        <v>10292.709999999999</v>
      </c>
      <c r="E54" s="2"/>
      <c r="F54" s="7">
        <f t="shared" si="30"/>
        <v>1.3281413110942217</v>
      </c>
      <c r="G54" s="2"/>
      <c r="H54" s="6">
        <v>8000</v>
      </c>
      <c r="I54" s="2"/>
      <c r="J54" s="7">
        <f t="shared" si="31"/>
        <v>0.45121263395375072</v>
      </c>
      <c r="K54" s="2"/>
      <c r="L54" s="6">
        <f t="shared" si="32"/>
        <v>2292.7099999999991</v>
      </c>
      <c r="M54" s="2"/>
      <c r="N54" s="7">
        <f t="shared" si="33"/>
        <v>0.28658874999999989</v>
      </c>
      <c r="O54" s="11"/>
      <c r="P54" s="6">
        <v>72714.61</v>
      </c>
      <c r="Q54" s="2"/>
      <c r="R54" s="7">
        <f t="shared" si="34"/>
        <v>0.7347974726024622</v>
      </c>
      <c r="S54" s="2"/>
      <c r="T54" s="6">
        <v>91300</v>
      </c>
      <c r="U54" s="2"/>
      <c r="V54" s="7">
        <f t="shared" si="35"/>
        <v>0.69625562418973541</v>
      </c>
      <c r="W54" s="2"/>
      <c r="X54" s="6">
        <f t="shared" si="36"/>
        <v>-18585.39</v>
      </c>
      <c r="Y54" s="2"/>
      <c r="Z54" s="7">
        <f t="shared" si="37"/>
        <v>-0.20356396495071194</v>
      </c>
    </row>
    <row r="55" spans="1:26" s="24" customFormat="1" hidden="1" outlineLevel="2" x14ac:dyDescent="0.3">
      <c r="A55" s="29"/>
      <c r="B55" s="11" t="str">
        <f>CONCATENATE("          ", "6307", " - ", "POSTAGE")</f>
        <v xml:space="preserve">          6307 - POSTAGE</v>
      </c>
      <c r="C55" s="11"/>
      <c r="D55" s="6">
        <v>-14467.57</v>
      </c>
      <c r="E55" s="2"/>
      <c r="F55" s="7">
        <f t="shared" si="30"/>
        <v>-1.8668530822443681</v>
      </c>
      <c r="G55" s="2"/>
      <c r="H55" s="6">
        <v>-9700</v>
      </c>
      <c r="I55" s="2"/>
      <c r="J55" s="7">
        <f t="shared" si="31"/>
        <v>-0.54709531866892269</v>
      </c>
      <c r="K55" s="2"/>
      <c r="L55" s="6">
        <f t="shared" si="32"/>
        <v>-4767.57</v>
      </c>
      <c r="M55" s="2"/>
      <c r="N55" s="7">
        <f t="shared" si="33"/>
        <v>0.49150206185567008</v>
      </c>
      <c r="O55" s="11"/>
      <c r="P55" s="6">
        <v>-119862.63</v>
      </c>
      <c r="Q55" s="2"/>
      <c r="R55" s="7">
        <f t="shared" si="34"/>
        <v>-1.2112388085899666</v>
      </c>
      <c r="S55" s="2"/>
      <c r="T55" s="6">
        <v>-91500</v>
      </c>
      <c r="U55" s="2"/>
      <c r="V55" s="7">
        <f t="shared" si="35"/>
        <v>-0.69778082818576981</v>
      </c>
      <c r="W55" s="2"/>
      <c r="X55" s="6">
        <f t="shared" si="36"/>
        <v>-28362.630000000005</v>
      </c>
      <c r="Y55" s="2"/>
      <c r="Z55" s="7">
        <f t="shared" si="37"/>
        <v>0.30997409836065581</v>
      </c>
    </row>
    <row r="56" spans="1:26" s="28" customFormat="1" outlineLevel="1" collapsed="1" x14ac:dyDescent="0.3">
      <c r="A56" s="27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0</v>
      </c>
      <c r="E56" s="1"/>
      <c r="F56" s="5">
        <f t="shared" ref="F56:F61" si="38">IF(D$12=0,0,D56/D$12)</f>
        <v>0</v>
      </c>
      <c r="G56" s="1"/>
      <c r="H56" s="1">
        <f>SUM(OSRRefH22_6x_0)</f>
        <v>0</v>
      </c>
      <c r="I56" s="1"/>
      <c r="J56" s="5">
        <f t="shared" ref="J56:J61" si="39">IF(H$12=0,0,H56/H$12)</f>
        <v>0</v>
      </c>
      <c r="K56" s="1"/>
      <c r="L56" s="1">
        <f t="shared" ref="L56:L61" si="40">+D56-H56</f>
        <v>0</v>
      </c>
      <c r="M56" s="1"/>
      <c r="N56" s="5">
        <f t="shared" ref="N56:N61" si="41">IF(H56=0,0,L56/H56)</f>
        <v>0</v>
      </c>
      <c r="O56" s="14"/>
      <c r="P56" s="1">
        <f>SUM(OSRRefP22_6x_0)</f>
        <v>91.31</v>
      </c>
      <c r="Q56" s="1"/>
      <c r="R56" s="5">
        <f t="shared" ref="R56:R61" si="42">IF(P$12=0,0,P56/P$12)</f>
        <v>9.2270806682908464E-4</v>
      </c>
      <c r="S56" s="1"/>
      <c r="T56" s="1">
        <f>SUM(OSRRefT22_6x_0)</f>
        <v>0</v>
      </c>
      <c r="U56" s="1"/>
      <c r="V56" s="5">
        <f t="shared" ref="V56:V61" si="43">IF(T$12=0,0,T56/T$12)</f>
        <v>0</v>
      </c>
      <c r="W56" s="1"/>
      <c r="X56" s="1">
        <f t="shared" ref="X56:X61" si="44">+P56-T56</f>
        <v>91.31</v>
      </c>
      <c r="Y56" s="1"/>
      <c r="Z56" s="5">
        <f t="shared" ref="Z56:Z61" si="45">IF(T56=0,0,X56/T56)</f>
        <v>0</v>
      </c>
    </row>
    <row r="57" spans="1:26" s="24" customFormat="1" hidden="1" outlineLevel="2" x14ac:dyDescent="0.3">
      <c r="A57" s="29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>
        <v>91.31</v>
      </c>
      <c r="Q57" s="2"/>
      <c r="R57" s="7">
        <f t="shared" si="42"/>
        <v>9.2270806682908464E-4</v>
      </c>
      <c r="S57" s="2"/>
      <c r="T57" s="6"/>
      <c r="U57" s="2"/>
      <c r="V57" s="7">
        <f t="shared" si="43"/>
        <v>0</v>
      </c>
      <c r="W57" s="2"/>
      <c r="X57" s="6">
        <f t="shared" si="44"/>
        <v>91.31</v>
      </c>
      <c r="Y57" s="2"/>
      <c r="Z57" s="7">
        <f t="shared" si="45"/>
        <v>0</v>
      </c>
    </row>
    <row r="58" spans="1:26" s="28" customFormat="1" outlineLevel="1" collapsed="1" x14ac:dyDescent="0.3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SUM(OSRRefD22_7x_0)</f>
        <v>700.73</v>
      </c>
      <c r="E58" s="1"/>
      <c r="F58" s="5">
        <f t="shared" si="38"/>
        <v>9.0420157657512365E-2</v>
      </c>
      <c r="G58" s="1"/>
      <c r="H58" s="1">
        <f>SUM(OSRRefH22_7x_0)</f>
        <v>500</v>
      </c>
      <c r="I58" s="1"/>
      <c r="J58" s="5">
        <f t="shared" si="39"/>
        <v>2.820078962210942E-2</v>
      </c>
      <c r="K58" s="1"/>
      <c r="L58" s="1">
        <f t="shared" si="40"/>
        <v>200.73000000000002</v>
      </c>
      <c r="M58" s="1"/>
      <c r="N58" s="5">
        <f t="shared" si="41"/>
        <v>0.40146000000000004</v>
      </c>
      <c r="O58" s="14"/>
      <c r="P58" s="1">
        <f>SUM(OSRRefP22_7x_0)</f>
        <v>13228.75</v>
      </c>
      <c r="Q58" s="1"/>
      <c r="R58" s="5">
        <f t="shared" si="42"/>
        <v>0.13367949117364203</v>
      </c>
      <c r="S58" s="1"/>
      <c r="T58" s="1">
        <f>SUM(OSRRefT22_7x_0)</f>
        <v>28100</v>
      </c>
      <c r="U58" s="1"/>
      <c r="V58" s="5">
        <f t="shared" si="43"/>
        <v>0.21429116144284299</v>
      </c>
      <c r="W58" s="1"/>
      <c r="X58" s="1">
        <f t="shared" si="44"/>
        <v>-14871.25</v>
      </c>
      <c r="Y58" s="1"/>
      <c r="Z58" s="5">
        <f t="shared" si="45"/>
        <v>-0.52922597864768683</v>
      </c>
    </row>
    <row r="59" spans="1:26" s="24" customFormat="1" hidden="1" outlineLevel="2" x14ac:dyDescent="0.3">
      <c r="A59" s="29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/>
      <c r="Q59" s="2"/>
      <c r="R59" s="7">
        <f t="shared" si="42"/>
        <v>0</v>
      </c>
      <c r="S59" s="2"/>
      <c r="T59" s="6">
        <v>100</v>
      </c>
      <c r="U59" s="2"/>
      <c r="V59" s="7">
        <f t="shared" si="43"/>
        <v>7.6260199801723484E-4</v>
      </c>
      <c r="W59" s="2"/>
      <c r="X59" s="6">
        <f t="shared" si="44"/>
        <v>-100</v>
      </c>
      <c r="Y59" s="2"/>
      <c r="Z59" s="7">
        <f t="shared" si="45"/>
        <v>-1</v>
      </c>
    </row>
    <row r="60" spans="1:26" s="24" customFormat="1" hidden="1" outlineLevel="2" x14ac:dyDescent="0.3">
      <c r="A60" s="29"/>
      <c r="B60" s="11" t="str">
        <f>CONCATENATE("          ", "6373", " - ", "MAINTENANCE CONTRACTS")</f>
        <v xml:space="preserve">          6373 - MAINTENANCE CONTRACTS</v>
      </c>
      <c r="C60" s="11"/>
      <c r="D60" s="6">
        <v>700.73</v>
      </c>
      <c r="E60" s="2"/>
      <c r="F60" s="7">
        <f t="shared" si="38"/>
        <v>9.0420157657512365E-2</v>
      </c>
      <c r="G60" s="2"/>
      <c r="H60" s="6">
        <v>500</v>
      </c>
      <c r="I60" s="2"/>
      <c r="J60" s="7">
        <f t="shared" si="39"/>
        <v>2.820078962210942E-2</v>
      </c>
      <c r="K60" s="2"/>
      <c r="L60" s="6">
        <f t="shared" si="40"/>
        <v>200.73000000000002</v>
      </c>
      <c r="M60" s="2"/>
      <c r="N60" s="7">
        <f t="shared" si="41"/>
        <v>0.40146000000000004</v>
      </c>
      <c r="O60" s="11"/>
      <c r="P60" s="6">
        <v>5331.14</v>
      </c>
      <c r="Q60" s="2"/>
      <c r="R60" s="7">
        <f t="shared" si="42"/>
        <v>5.3872367576335636E-2</v>
      </c>
      <c r="S60" s="2"/>
      <c r="T60" s="6">
        <v>28000</v>
      </c>
      <c r="U60" s="2"/>
      <c r="V60" s="7">
        <f t="shared" si="43"/>
        <v>0.21352855944482574</v>
      </c>
      <c r="W60" s="2"/>
      <c r="X60" s="6">
        <f t="shared" si="44"/>
        <v>-22668.86</v>
      </c>
      <c r="Y60" s="2"/>
      <c r="Z60" s="7">
        <f t="shared" si="45"/>
        <v>-0.80960214285714283</v>
      </c>
    </row>
    <row r="61" spans="1:26" s="24" customFormat="1" hidden="1" outlineLevel="2" x14ac:dyDescent="0.3">
      <c r="A61" s="29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>
        <v>7897.61</v>
      </c>
      <c r="Q61" s="2"/>
      <c r="R61" s="7">
        <f t="shared" si="42"/>
        <v>7.9807123597306392E-2</v>
      </c>
      <c r="S61" s="2"/>
      <c r="T61" s="6"/>
      <c r="U61" s="2"/>
      <c r="V61" s="7">
        <f t="shared" si="43"/>
        <v>0</v>
      </c>
      <c r="W61" s="2"/>
      <c r="X61" s="6">
        <f t="shared" si="44"/>
        <v>7897.61</v>
      </c>
      <c r="Y61" s="2"/>
      <c r="Z61" s="7">
        <f t="shared" si="45"/>
        <v>0</v>
      </c>
    </row>
    <row r="62" spans="1:26" s="28" customFormat="1" outlineLevel="1" collapsed="1" x14ac:dyDescent="0.3">
      <c r="A62" s="27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1">
        <f>SUM(OSRRefD22_8x_0)</f>
        <v>1121.23</v>
      </c>
      <c r="E62" s="1"/>
      <c r="F62" s="5">
        <f t="shared" ref="F62:F68" si="46">IF(D$12=0,0,D62/D$12)</f>
        <v>0.14468025255138581</v>
      </c>
      <c r="G62" s="1"/>
      <c r="H62" s="1">
        <f>SUM(OSRRefH22_8x_0)</f>
        <v>3000</v>
      </c>
      <c r="I62" s="1"/>
      <c r="J62" s="5">
        <f t="shared" ref="J62:J68" si="47">IF(H$12=0,0,H62/H$12)</f>
        <v>0.16920473773265651</v>
      </c>
      <c r="K62" s="1"/>
      <c r="L62" s="1">
        <f t="shared" ref="L62:L68" si="48">+D62-H62</f>
        <v>-1878.77</v>
      </c>
      <c r="M62" s="1"/>
      <c r="N62" s="5">
        <f t="shared" ref="N62:N68" si="49">IF(H62=0,0,L62/H62)</f>
        <v>-0.62625666666666668</v>
      </c>
      <c r="O62" s="14"/>
      <c r="P62" s="1">
        <f>SUM(OSRRefP22_8x_0)</f>
        <v>5614.14</v>
      </c>
      <c r="Q62" s="1"/>
      <c r="R62" s="5">
        <f t="shared" ref="R62:R68" si="50">IF(P$12=0,0,P62/P$12)</f>
        <v>5.6732146164799449E-2</v>
      </c>
      <c r="S62" s="1"/>
      <c r="T62" s="1">
        <f>SUM(OSRRefT22_8x_0)</f>
        <v>18700</v>
      </c>
      <c r="U62" s="1"/>
      <c r="V62" s="5">
        <f t="shared" ref="V62:V68" si="51">IF(T$12=0,0,T62/T$12)</f>
        <v>0.14260657362922291</v>
      </c>
      <c r="W62" s="1"/>
      <c r="X62" s="1">
        <f t="shared" ref="X62:X68" si="52">+P62-T62</f>
        <v>-13085.86</v>
      </c>
      <c r="Y62" s="1"/>
      <c r="Z62" s="5">
        <f t="shared" ref="Z62:Z68" si="53">IF(T62=0,0,X62/T62)</f>
        <v>-0.69977860962566851</v>
      </c>
    </row>
    <row r="63" spans="1:26" s="24" customFormat="1" hidden="1" outlineLevel="2" x14ac:dyDescent="0.3">
      <c r="A63" s="29"/>
      <c r="B63" s="11" t="str">
        <f>CONCATENATE("          ", "6259", " - ", "ROYALTY &amp; COMMISSIONS")</f>
        <v xml:space="preserve">          6259 - ROYALTY &amp; COMMISSIONS</v>
      </c>
      <c r="C63" s="11"/>
      <c r="D63" s="6">
        <v>1121.23</v>
      </c>
      <c r="E63" s="2"/>
      <c r="F63" s="7">
        <f t="shared" si="46"/>
        <v>0.14468025255138581</v>
      </c>
      <c r="G63" s="2"/>
      <c r="H63" s="6">
        <v>3000</v>
      </c>
      <c r="I63" s="2"/>
      <c r="J63" s="7">
        <f t="shared" si="47"/>
        <v>0.16920473773265651</v>
      </c>
      <c r="K63" s="2"/>
      <c r="L63" s="6">
        <f t="shared" si="48"/>
        <v>-1878.77</v>
      </c>
      <c r="M63" s="2"/>
      <c r="N63" s="7">
        <f t="shared" si="49"/>
        <v>-0.62625666666666668</v>
      </c>
      <c r="O63" s="11"/>
      <c r="P63" s="6">
        <v>5614.14</v>
      </c>
      <c r="Q63" s="2"/>
      <c r="R63" s="7">
        <f t="shared" si="50"/>
        <v>5.6732146164799449E-2</v>
      </c>
      <c r="S63" s="2"/>
      <c r="T63" s="6">
        <v>18700</v>
      </c>
      <c r="U63" s="2"/>
      <c r="V63" s="7">
        <f t="shared" si="51"/>
        <v>0.14260657362922291</v>
      </c>
      <c r="W63" s="2"/>
      <c r="X63" s="6">
        <f t="shared" si="52"/>
        <v>-13085.86</v>
      </c>
      <c r="Y63" s="2"/>
      <c r="Z63" s="7">
        <f t="shared" si="53"/>
        <v>-0.69977860962566851</v>
      </c>
    </row>
    <row r="64" spans="1:26" s="28" customFormat="1" outlineLevel="1" collapsed="1" x14ac:dyDescent="0.3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SUM(OSRRefD22_9x_0)</f>
        <v>3328.09</v>
      </c>
      <c r="E64" s="1"/>
      <c r="F64" s="5">
        <f t="shared" si="46"/>
        <v>0.42944703737301143</v>
      </c>
      <c r="G64" s="1"/>
      <c r="H64" s="1">
        <f>SUM(OSRRefH22_9x_0)</f>
        <v>1510</v>
      </c>
      <c r="I64" s="1"/>
      <c r="J64" s="5">
        <f t="shared" si="47"/>
        <v>8.5166384658770439E-2</v>
      </c>
      <c r="K64" s="1"/>
      <c r="L64" s="1">
        <f t="shared" si="48"/>
        <v>1818.0900000000001</v>
      </c>
      <c r="M64" s="1"/>
      <c r="N64" s="5">
        <f t="shared" si="49"/>
        <v>1.2040331125827815</v>
      </c>
      <c r="O64" s="14"/>
      <c r="P64" s="1">
        <f>SUM(OSRRefP22_9x_0)</f>
        <v>21822.239999999998</v>
      </c>
      <c r="Q64" s="1"/>
      <c r="R64" s="5">
        <f t="shared" si="50"/>
        <v>0.22051863853116113</v>
      </c>
      <c r="S64" s="1"/>
      <c r="T64" s="1">
        <f>SUM(OSRRefT22_9x_0)</f>
        <v>21800</v>
      </c>
      <c r="U64" s="1"/>
      <c r="V64" s="5">
        <f t="shared" si="51"/>
        <v>0.1662472355677572</v>
      </c>
      <c r="W64" s="1"/>
      <c r="X64" s="1">
        <f t="shared" si="52"/>
        <v>22.239999999997963</v>
      </c>
      <c r="Y64" s="1"/>
      <c r="Z64" s="5">
        <f t="shared" si="53"/>
        <v>1.0201834862384386E-3</v>
      </c>
    </row>
    <row r="65" spans="1:26" s="24" customFormat="1" hidden="1" outlineLevel="2" x14ac:dyDescent="0.3">
      <c r="A65" s="29"/>
      <c r="B65" s="11" t="str">
        <f>CONCATENATE("          ", "6241", " - ", "OFFICE EXPENSE")</f>
        <v xml:space="preserve">          6241 - OFFICE EXPENSE</v>
      </c>
      <c r="C65" s="11"/>
      <c r="D65" s="6">
        <v>9.98</v>
      </c>
      <c r="E65" s="2"/>
      <c r="F65" s="7">
        <f t="shared" si="46"/>
        <v>1.2877901237594699E-3</v>
      </c>
      <c r="G65" s="2"/>
      <c r="H65" s="6"/>
      <c r="I65" s="2"/>
      <c r="J65" s="7">
        <f t="shared" si="47"/>
        <v>0</v>
      </c>
      <c r="K65" s="2"/>
      <c r="L65" s="6">
        <f t="shared" si="48"/>
        <v>9.98</v>
      </c>
      <c r="M65" s="2"/>
      <c r="N65" s="7">
        <f t="shared" si="49"/>
        <v>0</v>
      </c>
      <c r="O65" s="11"/>
      <c r="P65" s="6">
        <v>4852.8500000000004</v>
      </c>
      <c r="Q65" s="2"/>
      <c r="R65" s="7">
        <f t="shared" si="50"/>
        <v>4.9039139657337902E-2</v>
      </c>
      <c r="S65" s="2"/>
      <c r="T65" s="6"/>
      <c r="U65" s="2"/>
      <c r="V65" s="7">
        <f t="shared" si="51"/>
        <v>0</v>
      </c>
      <c r="W65" s="2"/>
      <c r="X65" s="6">
        <f t="shared" si="52"/>
        <v>4852.8500000000004</v>
      </c>
      <c r="Y65" s="2"/>
      <c r="Z65" s="7">
        <f t="shared" si="53"/>
        <v>0</v>
      </c>
    </row>
    <row r="66" spans="1:26" s="24" customFormat="1" hidden="1" outlineLevel="2" x14ac:dyDescent="0.3">
      <c r="A66" s="29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6"/>
        <v>0</v>
      </c>
      <c r="G66" s="2"/>
      <c r="H66" s="6">
        <v>1200</v>
      </c>
      <c r="I66" s="2"/>
      <c r="J66" s="7">
        <f t="shared" si="47"/>
        <v>6.7681895093062605E-2</v>
      </c>
      <c r="K66" s="2"/>
      <c r="L66" s="6">
        <f t="shared" si="48"/>
        <v>-1200</v>
      </c>
      <c r="M66" s="2"/>
      <c r="N66" s="7">
        <f t="shared" si="49"/>
        <v>-1</v>
      </c>
      <c r="O66" s="11"/>
      <c r="P66" s="6">
        <v>4470.8999999999996</v>
      </c>
      <c r="Q66" s="2"/>
      <c r="R66" s="7">
        <f t="shared" si="50"/>
        <v>4.5179449085381164E-2</v>
      </c>
      <c r="S66" s="2"/>
      <c r="T66" s="6">
        <v>18900</v>
      </c>
      <c r="U66" s="2"/>
      <c r="V66" s="7">
        <f t="shared" si="51"/>
        <v>0.14413177762525739</v>
      </c>
      <c r="W66" s="2"/>
      <c r="X66" s="6">
        <f t="shared" si="52"/>
        <v>-14429.1</v>
      </c>
      <c r="Y66" s="2"/>
      <c r="Z66" s="7">
        <f t="shared" si="53"/>
        <v>-0.76344444444444448</v>
      </c>
    </row>
    <row r="67" spans="1:26" s="24" customFormat="1" hidden="1" outlineLevel="2" x14ac:dyDescent="0.3">
      <c r="A67" s="29"/>
      <c r="B67" s="11" t="str">
        <f>CONCATENATE("          ", "6245", " - ", "PRINTING")</f>
        <v xml:space="preserve">          6245 - PRINTING</v>
      </c>
      <c r="C67" s="11"/>
      <c r="D67" s="6">
        <v>812.04</v>
      </c>
      <c r="E67" s="2"/>
      <c r="F67" s="7">
        <f t="shared" si="46"/>
        <v>0.10478327576128656</v>
      </c>
      <c r="G67" s="2"/>
      <c r="H67" s="6">
        <v>160</v>
      </c>
      <c r="I67" s="2"/>
      <c r="J67" s="7">
        <f t="shared" si="47"/>
        <v>9.0242526790750149E-3</v>
      </c>
      <c r="K67" s="2"/>
      <c r="L67" s="6">
        <f t="shared" si="48"/>
        <v>652.04</v>
      </c>
      <c r="M67" s="2"/>
      <c r="N67" s="7">
        <f t="shared" si="49"/>
        <v>4.0752499999999996</v>
      </c>
      <c r="O67" s="11"/>
      <c r="P67" s="6">
        <v>1081.93</v>
      </c>
      <c r="Q67" s="2"/>
      <c r="R67" s="7">
        <f t="shared" si="50"/>
        <v>1.0933145753415745E-2</v>
      </c>
      <c r="S67" s="2"/>
      <c r="T67" s="6">
        <v>2145</v>
      </c>
      <c r="U67" s="2"/>
      <c r="V67" s="7">
        <f t="shared" si="51"/>
        <v>1.6357812857469685E-2</v>
      </c>
      <c r="W67" s="2"/>
      <c r="X67" s="6">
        <f t="shared" si="52"/>
        <v>-1063.07</v>
      </c>
      <c r="Y67" s="2"/>
      <c r="Z67" s="7">
        <f t="shared" si="53"/>
        <v>-0.49560372960372956</v>
      </c>
    </row>
    <row r="68" spans="1:26" s="24" customFormat="1" hidden="1" outlineLevel="2" x14ac:dyDescent="0.3">
      <c r="A68" s="29"/>
      <c r="B68" s="11" t="str">
        <f>CONCATENATE("          ", "6247", " - ", "STORE SUPPLIES")</f>
        <v xml:space="preserve">          6247 - STORE SUPPLIES</v>
      </c>
      <c r="C68" s="11"/>
      <c r="D68" s="6">
        <v>2506.0700000000002</v>
      </c>
      <c r="E68" s="2"/>
      <c r="F68" s="7">
        <f t="shared" si="46"/>
        <v>0.32337597148796543</v>
      </c>
      <c r="G68" s="2"/>
      <c r="H68" s="6">
        <v>150</v>
      </c>
      <c r="I68" s="2"/>
      <c r="J68" s="7">
        <f t="shared" si="47"/>
        <v>8.4602368866328256E-3</v>
      </c>
      <c r="K68" s="2"/>
      <c r="L68" s="6">
        <f t="shared" si="48"/>
        <v>2356.0700000000002</v>
      </c>
      <c r="M68" s="2"/>
      <c r="N68" s="7">
        <f t="shared" si="49"/>
        <v>15.707133333333335</v>
      </c>
      <c r="O68" s="11"/>
      <c r="P68" s="6">
        <v>11416.56</v>
      </c>
      <c r="Q68" s="2"/>
      <c r="R68" s="7">
        <f t="shared" si="50"/>
        <v>0.11536690403502634</v>
      </c>
      <c r="S68" s="2"/>
      <c r="T68" s="6">
        <v>755</v>
      </c>
      <c r="U68" s="2"/>
      <c r="V68" s="7">
        <f t="shared" si="51"/>
        <v>5.7576450850301232E-3</v>
      </c>
      <c r="W68" s="2"/>
      <c r="X68" s="6">
        <f t="shared" si="52"/>
        <v>10661.56</v>
      </c>
      <c r="Y68" s="2"/>
      <c r="Z68" s="7">
        <f t="shared" si="53"/>
        <v>14.121271523178807</v>
      </c>
    </row>
    <row r="69" spans="1:26" s="28" customFormat="1" outlineLevel="1" collapsed="1" x14ac:dyDescent="0.3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SUM(OSRRefD22_10x_0)</f>
        <v>50.5</v>
      </c>
      <c r="E69" s="1"/>
      <c r="F69" s="5">
        <f t="shared" ref="F69:F70" si="54">IF(D$12=0,0,D69/D$12)</f>
        <v>6.5163728707267766E-3</v>
      </c>
      <c r="G69" s="1"/>
      <c r="H69" s="1">
        <f>SUM(OSRRefH22_10x_0)</f>
        <v>175</v>
      </c>
      <c r="I69" s="1"/>
      <c r="J69" s="5">
        <f t="shared" ref="J69:J70" si="55">IF(H$12=0,0,H69/H$12)</f>
        <v>9.8702763677382972E-3</v>
      </c>
      <c r="K69" s="1"/>
      <c r="L69" s="1">
        <f t="shared" ref="L69:L70" si="56">+D69-H69</f>
        <v>-124.5</v>
      </c>
      <c r="M69" s="1"/>
      <c r="N69" s="5">
        <f t="shared" ref="N69:N70" si="57">IF(H69=0,0,L69/H69)</f>
        <v>-0.71142857142857141</v>
      </c>
      <c r="O69" s="14"/>
      <c r="P69" s="1">
        <f>SUM(OSRRefP22_10x_0)</f>
        <v>629.54999999999995</v>
      </c>
      <c r="Q69" s="1"/>
      <c r="R69" s="5">
        <f t="shared" ref="R69:R70" si="58">IF(P$12=0,0,P69/P$12)</f>
        <v>6.3617442062452109E-3</v>
      </c>
      <c r="S69" s="1"/>
      <c r="T69" s="1">
        <f>SUM(OSRRefT22_10x_0)</f>
        <v>1050</v>
      </c>
      <c r="U69" s="1"/>
      <c r="V69" s="5">
        <f t="shared" ref="V69:V70" si="59">IF(T$12=0,0,T69/T$12)</f>
        <v>8.0073209791809655E-3</v>
      </c>
      <c r="W69" s="1"/>
      <c r="X69" s="1">
        <f t="shared" ref="X69:X70" si="60">+P69-T69</f>
        <v>-420.45000000000005</v>
      </c>
      <c r="Y69" s="1"/>
      <c r="Z69" s="5">
        <f t="shared" ref="Z69:Z70" si="61">IF(T69=0,0,X69/T69)</f>
        <v>-0.40042857142857147</v>
      </c>
    </row>
    <row r="70" spans="1:26" s="24" customFormat="1" hidden="1" outlineLevel="2" x14ac:dyDescent="0.3">
      <c r="A70" s="29"/>
      <c r="B70" s="11" t="str">
        <f>CONCATENATE("          ", "6309", " - ", "TELEPHONE")</f>
        <v xml:space="preserve">          6309 - TELEPHONE</v>
      </c>
      <c r="C70" s="11"/>
      <c r="D70" s="6">
        <v>50.5</v>
      </c>
      <c r="E70" s="2"/>
      <c r="F70" s="7">
        <f t="shared" si="54"/>
        <v>6.5163728707267766E-3</v>
      </c>
      <c r="G70" s="2"/>
      <c r="H70" s="6">
        <v>175</v>
      </c>
      <c r="I70" s="2"/>
      <c r="J70" s="7">
        <f t="shared" si="55"/>
        <v>9.8702763677382972E-3</v>
      </c>
      <c r="K70" s="2"/>
      <c r="L70" s="6">
        <f t="shared" si="56"/>
        <v>-124.5</v>
      </c>
      <c r="M70" s="2"/>
      <c r="N70" s="7">
        <f t="shared" si="57"/>
        <v>-0.71142857142857141</v>
      </c>
      <c r="O70" s="11"/>
      <c r="P70" s="6">
        <v>629.54999999999995</v>
      </c>
      <c r="Q70" s="2"/>
      <c r="R70" s="7">
        <f t="shared" si="58"/>
        <v>6.3617442062452109E-3</v>
      </c>
      <c r="S70" s="2"/>
      <c r="T70" s="6">
        <v>1050</v>
      </c>
      <c r="U70" s="2"/>
      <c r="V70" s="7">
        <f t="shared" si="59"/>
        <v>8.0073209791809655E-3</v>
      </c>
      <c r="W70" s="2"/>
      <c r="X70" s="6">
        <f t="shared" si="60"/>
        <v>-420.45000000000005</v>
      </c>
      <c r="Y70" s="2"/>
      <c r="Z70" s="7">
        <f t="shared" si="61"/>
        <v>-0.40042857142857147</v>
      </c>
    </row>
    <row r="71" spans="1:26" s="55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0</v>
      </c>
      <c r="E72" s="4"/>
      <c r="F72" s="12">
        <f t="shared" ref="F72:F73" si="62">IF(D$12=0,0,D72/D$12)</f>
        <v>0</v>
      </c>
      <c r="G72" s="4"/>
      <c r="H72" s="4">
        <f>SUM(OSRRefH25x_0)</f>
        <v>0</v>
      </c>
      <c r="I72" s="4"/>
      <c r="J72" s="12">
        <f t="shared" ref="J72:J73" si="63">IF(H$12=0,0,H72/H$12)</f>
        <v>0</v>
      </c>
      <c r="K72" s="4"/>
      <c r="L72" s="4">
        <f t="shared" ref="L72:L73" si="64">+D72-H72</f>
        <v>0</v>
      </c>
      <c r="M72" s="4"/>
      <c r="N72" s="12">
        <f t="shared" ref="N72:N73" si="65">IF(H72=0,0,L72/H72)</f>
        <v>0</v>
      </c>
      <c r="O72" s="10"/>
      <c r="P72" s="4">
        <f>SUM(OSRRefP25x_0)</f>
        <v>14899</v>
      </c>
      <c r="Q72" s="4"/>
      <c r="R72" s="12">
        <f t="shared" ref="R72:R73" si="66">IF(P$12=0,0,P72/P$12)</f>
        <v>0.15055774271916036</v>
      </c>
      <c r="S72" s="4"/>
      <c r="T72" s="4">
        <f>SUM(OSRRefT25x_0)</f>
        <v>33910</v>
      </c>
      <c r="U72" s="4"/>
      <c r="V72" s="12">
        <f t="shared" ref="V72:V73" si="67">IF(T$12=0,0,T72/T$12)</f>
        <v>0.25859833752764433</v>
      </c>
      <c r="W72" s="4"/>
      <c r="X72" s="4">
        <f t="shared" ref="X72:X73" si="68">+P72-T72</f>
        <v>-19011</v>
      </c>
      <c r="Y72" s="4"/>
      <c r="Z72" s="12">
        <f t="shared" ref="Z72:Z73" si="69">IF(T72=0,0,X72/T72)</f>
        <v>-0.56063108227661462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2"/>
        <v>0</v>
      </c>
      <c r="G73" s="2"/>
      <c r="H73" s="2"/>
      <c r="I73" s="2"/>
      <c r="J73" s="19">
        <f t="shared" si="63"/>
        <v>0</v>
      </c>
      <c r="K73" s="2"/>
      <c r="L73" s="2">
        <f t="shared" si="64"/>
        <v>0</v>
      </c>
      <c r="M73" s="2"/>
      <c r="N73" s="19">
        <f t="shared" si="65"/>
        <v>0</v>
      </c>
      <c r="O73" s="11"/>
      <c r="P73" s="2">
        <f>--14899</f>
        <v>14899</v>
      </c>
      <c r="Q73" s="2"/>
      <c r="R73" s="19">
        <f t="shared" si="66"/>
        <v>0.15055774271916036</v>
      </c>
      <c r="S73" s="2"/>
      <c r="T73" s="2">
        <v>33910</v>
      </c>
      <c r="U73" s="2"/>
      <c r="V73" s="19">
        <f t="shared" si="67"/>
        <v>0.25859833752764433</v>
      </c>
      <c r="W73" s="2"/>
      <c r="X73" s="2">
        <f t="shared" si="68"/>
        <v>-19011</v>
      </c>
      <c r="Y73" s="2"/>
      <c r="Z73" s="19">
        <f t="shared" si="69"/>
        <v>-0.56063108227661462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+D23-D25+D72</f>
        <v>-9875.0599999999977</v>
      </c>
      <c r="E75" s="13"/>
      <c r="F75" s="22">
        <f>IF(D$12=0,0,D75/D$12)</f>
        <v>-1.2742489718970127</v>
      </c>
      <c r="G75" s="13"/>
      <c r="H75" s="20">
        <f>+H23-H25+H72</f>
        <v>-259.63381961539562</v>
      </c>
      <c r="I75" s="13"/>
      <c r="J75" s="22">
        <f>IF(H$12=0,0,H75/H$12)</f>
        <v>-1.4643757451516956E-2</v>
      </c>
      <c r="K75" s="16"/>
      <c r="L75" s="20">
        <f>+D75-H75</f>
        <v>-9615.426180384602</v>
      </c>
      <c r="M75" s="16"/>
      <c r="N75" s="22">
        <f>IF(H75=0,0,L75/H75)</f>
        <v>37.034567355779224</v>
      </c>
      <c r="O75" s="25"/>
      <c r="P75" s="20">
        <f>+P23-P25+P72</f>
        <v>-29148.38999999997</v>
      </c>
      <c r="Q75" s="13"/>
      <c r="R75" s="22">
        <f>IF(P$12=0,0,P75/P$12)</f>
        <v>-0.2945510304247092</v>
      </c>
      <c r="S75" s="13"/>
      <c r="T75" s="20">
        <f>+T23-T25+T72</f>
        <v>-28365.38206019238</v>
      </c>
      <c r="U75" s="13"/>
      <c r="V75" s="22">
        <f>IF(T$12=0,0,T75/T$12)</f>
        <v>-0.21631497033624936</v>
      </c>
      <c r="W75" s="16"/>
      <c r="X75" s="20">
        <f>+P75-T75</f>
        <v>-783.00793980759045</v>
      </c>
      <c r="Y75" s="16"/>
      <c r="Z75" s="22">
        <f>IF(T75=0,0,X75/T75)</f>
        <v>2.7604350195108211E-2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1047.68</v>
      </c>
      <c r="E77" s="4"/>
      <c r="F77" s="12">
        <f>IF(D$12=0,0,D77/D$12)</f>
        <v>0.13518957483570354</v>
      </c>
      <c r="G77" s="4"/>
      <c r="H77" s="4">
        <v>2801</v>
      </c>
      <c r="I77" s="4"/>
      <c r="J77" s="12">
        <f>IF(H$12=0,0,H77/H$12)</f>
        <v>0.15798082346305697</v>
      </c>
      <c r="K77" s="4"/>
      <c r="L77" s="4">
        <f>+D77-H77</f>
        <v>-1753.32</v>
      </c>
      <c r="M77" s="4"/>
      <c r="N77" s="12">
        <f>IF(H77=0,0,L77/H77)</f>
        <v>-0.62596215637272401</v>
      </c>
      <c r="O77" s="10"/>
      <c r="P77" s="4">
        <v>11911.74</v>
      </c>
      <c r="Q77" s="4"/>
      <c r="R77" s="12">
        <f>IF(P$12=0,0,P77/P$12)</f>
        <v>0.12037080919910942</v>
      </c>
      <c r="S77" s="4"/>
      <c r="T77" s="4">
        <v>16978</v>
      </c>
      <c r="U77" s="4"/>
      <c r="V77" s="12">
        <f>IF(T$12=0,0,T77/T$12)</f>
        <v>0.12947456722336612</v>
      </c>
      <c r="W77" s="4"/>
      <c r="X77" s="4">
        <f>+P77-T77</f>
        <v>-5066.26</v>
      </c>
      <c r="Y77" s="4"/>
      <c r="Z77" s="12">
        <f>IF(T77=0,0,X77/T77)</f>
        <v>-0.29840146071386503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1">
        <f>+D75-D77</f>
        <v>-10922.739999999998</v>
      </c>
      <c r="E79" s="13"/>
      <c r="F79" s="30">
        <f>IF(D$12=0,0,D79/D$12)</f>
        <v>-1.4094385467327164</v>
      </c>
      <c r="G79" s="13"/>
      <c r="H79" s="31">
        <f>+H75-H77</f>
        <v>-3060.6338196153956</v>
      </c>
      <c r="I79" s="13"/>
      <c r="J79" s="30">
        <f>IF(H$12=0,0,H79/H$12)</f>
        <v>-0.17262458091457392</v>
      </c>
      <c r="K79" s="16"/>
      <c r="L79" s="31">
        <f>D79-H79</f>
        <v>-7862.1061803846023</v>
      </c>
      <c r="M79" s="16"/>
      <c r="N79" s="30">
        <f>IF(H79=0,0,L79/H79)</f>
        <v>2.5687836715378674</v>
      </c>
      <c r="O79" s="25"/>
      <c r="P79" s="31">
        <f>+P75-P77</f>
        <v>-41060.129999999968</v>
      </c>
      <c r="Q79" s="13"/>
      <c r="R79" s="30">
        <f>IF(P$12=0,0,P79/P$12)</f>
        <v>-0.41492183962381857</v>
      </c>
      <c r="S79" s="13"/>
      <c r="T79" s="31">
        <f>+T75-T77</f>
        <v>-45343.38206019238</v>
      </c>
      <c r="U79" s="13"/>
      <c r="V79" s="30">
        <f>IF(T$12=0,0,T79/T$12)</f>
        <v>-0.3457895375596155</v>
      </c>
      <c r="W79" s="16"/>
      <c r="X79" s="31">
        <f>P79-T79</f>
        <v>4283.2520601924116</v>
      </c>
      <c r="Y79" s="16"/>
      <c r="Z79" s="30">
        <f>IF(T79=0,0,X79/T79)</f>
        <v>-9.4462562464054517E-2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-10922.739999999998</v>
      </c>
      <c r="E82" s="13"/>
      <c r="F82" s="34">
        <f>IF(D$12=0,0,D82/D$12)</f>
        <v>-1.4094385467327164</v>
      </c>
      <c r="G82" s="13"/>
      <c r="H82" s="35">
        <f>SUM(H79:H81)</f>
        <v>-3060.6338196153956</v>
      </c>
      <c r="I82" s="13"/>
      <c r="J82" s="34">
        <f>IF(H$12=0,0,H82/H$12)</f>
        <v>-0.17262458091457392</v>
      </c>
      <c r="K82" s="16"/>
      <c r="L82" s="35">
        <f>+D82-H82</f>
        <v>-7862.1061803846023</v>
      </c>
      <c r="M82" s="16"/>
      <c r="N82" s="34">
        <f>IF(H82=0,0,L82/H82)</f>
        <v>2.5687836715378674</v>
      </c>
      <c r="O82" s="25"/>
      <c r="P82" s="35">
        <f>SUM(P79:P81)</f>
        <v>-41060.129999999968</v>
      </c>
      <c r="Q82" s="13"/>
      <c r="R82" s="34">
        <f>IF(P$12=0,0,P82/P$12)</f>
        <v>-0.41492183962381857</v>
      </c>
      <c r="S82" s="13"/>
      <c r="T82" s="35">
        <f>SUM(T79:T81)</f>
        <v>-45343.38206019238</v>
      </c>
      <c r="U82" s="13"/>
      <c r="V82" s="34">
        <f>IF(T$12=0,0,T82/T$12)</f>
        <v>-0.3457895375596155</v>
      </c>
      <c r="W82" s="16"/>
      <c r="X82" s="35">
        <f>+P82-T82</f>
        <v>4283.2520601924116</v>
      </c>
      <c r="Y82" s="16"/>
      <c r="Z82" s="34">
        <f>IF(T82=0,0,X82/T82)</f>
        <v>-9.4462562464054517E-2</v>
      </c>
    </row>
    <row r="83" spans="1:26" ht="15" thickTop="1" x14ac:dyDescent="0.3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3">
      <c r="A84" s="9"/>
      <c r="B84" s="61">
        <v>44575.842099305555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3">
      <c r="A85" s="9"/>
      <c r="B85" s="62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53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218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55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277</v>
      </c>
      <c r="C22" s="26"/>
      <c r="D22" s="20">
        <f>+D16-D18+D20</f>
        <v>0</v>
      </c>
      <c r="E22" s="13"/>
      <c r="F22" s="22">
        <f>IF(D$12=0,0,D22/D$12)</f>
        <v>0</v>
      </c>
      <c r="G22" s="13"/>
      <c r="H22" s="20">
        <f>+H16-H18+H20</f>
        <v>0</v>
      </c>
      <c r="I22" s="13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5"/>
      <c r="P22" s="20">
        <f>+P16-P18+P20</f>
        <v>0</v>
      </c>
      <c r="Q22" s="13"/>
      <c r="R22" s="22">
        <f>IF(P$12=0,0,P22/P$12)</f>
        <v>0</v>
      </c>
      <c r="S22" s="13"/>
      <c r="T22" s="20">
        <f>+T16-T18+T20</f>
        <v>0</v>
      </c>
      <c r="U22" s="13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126</v>
      </c>
      <c r="C26" s="26"/>
      <c r="D26" s="31">
        <f>+D22-D24</f>
        <v>0</v>
      </c>
      <c r="E26" s="13"/>
      <c r="F26" s="30">
        <f>IF(D$12=0,0,D26/D$12)</f>
        <v>0</v>
      </c>
      <c r="G26" s="13"/>
      <c r="H26" s="31">
        <f>+H22-H24</f>
        <v>0</v>
      </c>
      <c r="I26" s="13"/>
      <c r="J26" s="30">
        <f>IF(H$12=0,0,H26/H$12)</f>
        <v>0</v>
      </c>
      <c r="K26" s="16"/>
      <c r="L26" s="31">
        <f>D26-H26</f>
        <v>0</v>
      </c>
      <c r="M26" s="16"/>
      <c r="N26" s="30">
        <f>IF(H26=0,0,L26/H26)</f>
        <v>0</v>
      </c>
      <c r="O26" s="25"/>
      <c r="P26" s="31">
        <f>+P22-P24</f>
        <v>0</v>
      </c>
      <c r="Q26" s="13"/>
      <c r="R26" s="30">
        <f>IF(P$12=0,0,P26/P$12)</f>
        <v>0</v>
      </c>
      <c r="S26" s="13"/>
      <c r="T26" s="31">
        <f>+T22-T24</f>
        <v>0</v>
      </c>
      <c r="U26" s="13"/>
      <c r="V26" s="30">
        <f>IF(T$12=0,0,T26/T$12)</f>
        <v>0</v>
      </c>
      <c r="W26" s="16"/>
      <c r="X26" s="31">
        <f>P26-T26</f>
        <v>0</v>
      </c>
      <c r="Y26" s="16"/>
      <c r="Z26" s="30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184</v>
      </c>
      <c r="C28" s="10"/>
      <c r="D28" s="4">
        <f>--139580.48</f>
        <v>139580.48000000001</v>
      </c>
      <c r="E28" s="4"/>
      <c r="F28" s="12">
        <f t="shared" ref="F28:F29" si="0">IF(D$12=0,0,D28/D$12)</f>
        <v>0</v>
      </c>
      <c r="G28" s="4"/>
      <c r="H28" s="4">
        <f>--15000</f>
        <v>15000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124580.48000000001</v>
      </c>
      <c r="M28" s="4"/>
      <c r="N28" s="12">
        <f t="shared" ref="N28:N29" si="3">IF(H28=0,0,L28/H28)</f>
        <v>8.3053653333333344</v>
      </c>
      <c r="O28" s="10"/>
      <c r="P28" s="4">
        <f>-85136.7</f>
        <v>-85136.7</v>
      </c>
      <c r="Q28" s="4"/>
      <c r="R28" s="12">
        <f t="shared" ref="R28:R29" si="4">IF(P$12=0,0,P28/P$12)</f>
        <v>0</v>
      </c>
      <c r="S28" s="4"/>
      <c r="T28" s="4">
        <f>--90000</f>
        <v>90000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-175136.7</v>
      </c>
      <c r="Y28" s="4"/>
      <c r="Z28" s="12">
        <f t="shared" ref="Z28:Z29" si="7">IF(T28=0,0,X28/T28)</f>
        <v>-1.9459633333333335</v>
      </c>
    </row>
    <row r="29" spans="1:26" s="23" customFormat="1" x14ac:dyDescent="0.3">
      <c r="A29" s="52"/>
      <c r="B29" s="10" t="s">
        <v>82</v>
      </c>
      <c r="C29" s="10"/>
      <c r="D29" s="4">
        <f>--127617.83</f>
        <v>127617.83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107617.83</v>
      </c>
      <c r="M29" s="4"/>
      <c r="N29" s="12">
        <f t="shared" si="3"/>
        <v>5.3808914999999997</v>
      </c>
      <c r="O29" s="10"/>
      <c r="P29" s="4">
        <f>--185407.7</f>
        <v>185407.7</v>
      </c>
      <c r="Q29" s="4"/>
      <c r="R29" s="12">
        <f t="shared" si="4"/>
        <v>0</v>
      </c>
      <c r="S29" s="4"/>
      <c r="T29" s="4">
        <f>--100000</f>
        <v>100000</v>
      </c>
      <c r="U29" s="4"/>
      <c r="V29" s="12">
        <f t="shared" si="5"/>
        <v>0</v>
      </c>
      <c r="W29" s="4"/>
      <c r="X29" s="4">
        <f t="shared" si="6"/>
        <v>85407.700000000012</v>
      </c>
      <c r="Y29" s="4"/>
      <c r="Z29" s="12">
        <f t="shared" si="7"/>
        <v>0.85407700000000009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5">
        <f>SUM(D26:D30)</f>
        <v>267198.31</v>
      </c>
      <c r="E31" s="13"/>
      <c r="F31" s="34">
        <f>IF(D$12=0,0,D31/D$12)</f>
        <v>0</v>
      </c>
      <c r="G31" s="13"/>
      <c r="H31" s="35">
        <f>SUM(H26:H30)</f>
        <v>35000</v>
      </c>
      <c r="I31" s="13"/>
      <c r="J31" s="34">
        <f>IF(H$12=0,0,H31/H$12)</f>
        <v>0</v>
      </c>
      <c r="K31" s="16"/>
      <c r="L31" s="35">
        <f>+D31-H31</f>
        <v>232198.31</v>
      </c>
      <c r="M31" s="16"/>
      <c r="N31" s="34">
        <f>IF(H31=0,0,L31/H31)</f>
        <v>6.6342374285714287</v>
      </c>
      <c r="O31" s="25"/>
      <c r="P31" s="35">
        <f>SUM(P26:P30)</f>
        <v>100271.00000000001</v>
      </c>
      <c r="Q31" s="13"/>
      <c r="R31" s="34">
        <f>IF(P$12=0,0,P31/P$12)</f>
        <v>0</v>
      </c>
      <c r="S31" s="13"/>
      <c r="T31" s="35">
        <f>SUM(T26:T30)</f>
        <v>190000</v>
      </c>
      <c r="U31" s="13"/>
      <c r="V31" s="34">
        <f>IF(T$12=0,0,T31/T$12)</f>
        <v>0</v>
      </c>
      <c r="W31" s="16"/>
      <c r="X31" s="35">
        <f>+P31-T31</f>
        <v>-89728.999999999985</v>
      </c>
      <c r="Y31" s="16"/>
      <c r="Z31" s="34">
        <f>IF(T31=0,0,X31/T31)</f>
        <v>-0.47225789473684204</v>
      </c>
    </row>
    <row r="32" spans="1:26" ht="15" thickTop="1" x14ac:dyDescent="0.3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61">
        <v>44575.842110532409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62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5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","316", " - ", "Campus Copy Center")</f>
        <v>Department 316 - Campus Copy Center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7749.7099999999991</v>
      </c>
      <c r="E12" s="4"/>
      <c r="F12" s="12"/>
      <c r="G12" s="4"/>
      <c r="H12" s="4">
        <f>SUM(OSRRefH13x_0)</f>
        <v>17730</v>
      </c>
      <c r="I12" s="4"/>
      <c r="J12" s="12"/>
      <c r="K12" s="4"/>
      <c r="L12" s="4">
        <f t="shared" ref="L12:L17" si="0">+D12-H12</f>
        <v>-9980.2900000000009</v>
      </c>
      <c r="M12" s="4"/>
      <c r="N12" s="12">
        <f t="shared" ref="N12:N17" si="1">IF(H12=0,0,L12/H12)</f>
        <v>-0.56290411731528489</v>
      </c>
      <c r="O12" s="10"/>
      <c r="P12" s="4">
        <f>SUM(OSRRefP13x_0)</f>
        <v>98958.709999999992</v>
      </c>
      <c r="Q12" s="4"/>
      <c r="R12" s="12"/>
      <c r="S12" s="4"/>
      <c r="T12" s="4">
        <f>SUM(OSRRefT13x_0)</f>
        <v>131130</v>
      </c>
      <c r="U12" s="4"/>
      <c r="V12" s="12"/>
      <c r="W12" s="4"/>
      <c r="X12" s="4">
        <f t="shared" ref="X12:X17" si="2">+P12-T12</f>
        <v>-32171.290000000008</v>
      </c>
      <c r="Y12" s="4"/>
      <c r="Z12" s="12">
        <f t="shared" ref="Z12:Z17" si="3">IF(T12=0,0,X12/T12)</f>
        <v>-0.24533890032791891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--4665.65</f>
        <v>4665.6499999999996</v>
      </c>
      <c r="E13" s="2"/>
      <c r="F13" s="19"/>
      <c r="G13" s="2"/>
      <c r="H13" s="2">
        <v>4230</v>
      </c>
      <c r="I13" s="2"/>
      <c r="J13" s="19"/>
      <c r="K13" s="2"/>
      <c r="L13" s="2">
        <f t="shared" si="0"/>
        <v>435.64999999999964</v>
      </c>
      <c r="M13" s="2"/>
      <c r="N13" s="19">
        <f t="shared" si="1"/>
        <v>0.1029905437352245</v>
      </c>
      <c r="O13" s="11"/>
      <c r="P13" s="2">
        <f>--78677.18</f>
        <v>78677.179999999993</v>
      </c>
      <c r="Q13" s="2"/>
      <c r="R13" s="19"/>
      <c r="S13" s="2"/>
      <c r="T13" s="2">
        <v>63430</v>
      </c>
      <c r="U13" s="2"/>
      <c r="V13" s="19"/>
      <c r="W13" s="2"/>
      <c r="X13" s="2">
        <f t="shared" si="2"/>
        <v>15247.179999999993</v>
      </c>
      <c r="Y13" s="2"/>
      <c r="Z13" s="19">
        <f t="shared" si="3"/>
        <v>0.24037805454832087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--3084.06</f>
        <v>3084.06</v>
      </c>
      <c r="E14" s="2"/>
      <c r="F14" s="19"/>
      <c r="G14" s="2"/>
      <c r="H14" s="2">
        <v>13500</v>
      </c>
      <c r="I14" s="2"/>
      <c r="J14" s="19"/>
      <c r="K14" s="2"/>
      <c r="L14" s="2">
        <f t="shared" si="0"/>
        <v>-10415.94</v>
      </c>
      <c r="M14" s="2"/>
      <c r="N14" s="19">
        <f t="shared" si="1"/>
        <v>-0.77155111111111119</v>
      </c>
      <c r="O14" s="11"/>
      <c r="P14" s="2">
        <f>--20684.53</f>
        <v>20684.53</v>
      </c>
      <c r="Q14" s="2"/>
      <c r="R14" s="19"/>
      <c r="S14" s="2"/>
      <c r="T14" s="2">
        <v>67700</v>
      </c>
      <c r="U14" s="2"/>
      <c r="V14" s="19"/>
      <c r="W14" s="2"/>
      <c r="X14" s="2">
        <f t="shared" si="2"/>
        <v>-47015.47</v>
      </c>
      <c r="Y14" s="2"/>
      <c r="Z14" s="19">
        <f t="shared" si="3"/>
        <v>-0.69446779911373713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7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-403</f>
        <v>-403</v>
      </c>
      <c r="Q17" s="2"/>
      <c r="R17" s="19"/>
      <c r="S17" s="2"/>
      <c r="T17" s="2"/>
      <c r="U17" s="2"/>
      <c r="V17" s="19"/>
      <c r="W17" s="2"/>
      <c r="X17" s="2">
        <f t="shared" si="2"/>
        <v>-403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0</v>
      </c>
      <c r="I19" s="4"/>
      <c r="J19" s="12">
        <f t="shared" ref="J19:J21" si="7">IF(H$12=0,0,H19/H$12)</f>
        <v>0</v>
      </c>
      <c r="K19" s="4"/>
      <c r="L19" s="4">
        <f t="shared" ref="L19:L21" si="8">+D19-H19</f>
        <v>0</v>
      </c>
      <c r="M19" s="4"/>
      <c r="N19" s="12">
        <f t="shared" ref="N19:N21" si="9">IF(H19=0,0,L19/H19)</f>
        <v>0</v>
      </c>
      <c r="O19" s="10"/>
      <c r="P19" s="4">
        <f>SUM(OSRRefP16x_0)</f>
        <v>8.26</v>
      </c>
      <c r="Q19" s="4"/>
      <c r="R19" s="12">
        <f t="shared" ref="R19:R21" si="10">IF(P$12=0,0,P19/P$12)</f>
        <v>8.3469155974244218E-5</v>
      </c>
      <c r="S19" s="4"/>
      <c r="T19" s="4">
        <f>SUM(OSRRefT16x_0)</f>
        <v>0</v>
      </c>
      <c r="U19" s="4"/>
      <c r="V19" s="12">
        <f t="shared" ref="V19:V21" si="11">IF(T$12=0,0,T19/T$12)</f>
        <v>0</v>
      </c>
      <c r="W19" s="4"/>
      <c r="X19" s="4">
        <f t="shared" ref="X19:X21" si="12">+P19-T19</f>
        <v>8.26</v>
      </c>
      <c r="Y19" s="4"/>
      <c r="Z19" s="12">
        <f t="shared" ref="Z19:Z21" si="13">IF(T19=0,0,X19/T19)</f>
        <v>0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0</v>
      </c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1"/>
      <c r="P20" s="2"/>
      <c r="Q20" s="2"/>
      <c r="R20" s="19">
        <f t="shared" si="10"/>
        <v>0</v>
      </c>
      <c r="S20" s="2"/>
      <c r="T20" s="2">
        <v>0</v>
      </c>
      <c r="U20" s="2"/>
      <c r="V20" s="19">
        <f t="shared" si="11"/>
        <v>0</v>
      </c>
      <c r="W20" s="2"/>
      <c r="X20" s="2">
        <f t="shared" si="12"/>
        <v>0</v>
      </c>
      <c r="Y20" s="2"/>
      <c r="Z20" s="19">
        <f t="shared" si="13"/>
        <v>0</v>
      </c>
    </row>
    <row r="21" spans="1:26" s="24" customFormat="1" hidden="1" outlineLevel="1" x14ac:dyDescent="0.3">
      <c r="A21" s="44"/>
      <c r="B21" s="11" t="str">
        <f>CONCATENATE("          ", "5500", " - ", "FREIGHT-IN")</f>
        <v xml:space="preserve">          5500 - FREIGHT-IN</v>
      </c>
      <c r="C21" s="11"/>
      <c r="D21" s="2"/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0</v>
      </c>
      <c r="M21" s="2"/>
      <c r="N21" s="19">
        <f t="shared" si="9"/>
        <v>0</v>
      </c>
      <c r="O21" s="11"/>
      <c r="P21" s="2">
        <v>8.26</v>
      </c>
      <c r="Q21" s="2"/>
      <c r="R21" s="19">
        <f t="shared" si="10"/>
        <v>8.3469155974244218E-5</v>
      </c>
      <c r="S21" s="2"/>
      <c r="T21" s="2"/>
      <c r="U21" s="2"/>
      <c r="V21" s="19">
        <f t="shared" si="11"/>
        <v>0</v>
      </c>
      <c r="W21" s="2"/>
      <c r="X21" s="2">
        <f t="shared" si="12"/>
        <v>8.26</v>
      </c>
      <c r="Y21" s="2"/>
      <c r="Z21" s="19">
        <f t="shared" si="13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D12-D19</f>
        <v>7749.7099999999991</v>
      </c>
      <c r="E23" s="13"/>
      <c r="F23" s="22">
        <f>IF(D$12=0,0,D23/D$12)</f>
        <v>1</v>
      </c>
      <c r="G23" s="13"/>
      <c r="H23" s="20">
        <f>H12-H19</f>
        <v>17730</v>
      </c>
      <c r="I23" s="13"/>
      <c r="J23" s="22">
        <f>IF(H$12=0,0,H23/H$12)</f>
        <v>1</v>
      </c>
      <c r="K23" s="16"/>
      <c r="L23" s="20">
        <f>+D23-H23</f>
        <v>-9980.2900000000009</v>
      </c>
      <c r="M23" s="16"/>
      <c r="N23" s="22">
        <f>IF(H23=0,0,L23/H23)</f>
        <v>-0.56290411731528489</v>
      </c>
      <c r="O23" s="25"/>
      <c r="P23" s="20">
        <f>P12-P19</f>
        <v>98950.45</v>
      </c>
      <c r="Q23" s="13"/>
      <c r="R23" s="22">
        <f>IF(P$12=0,0,P23/P$12)</f>
        <v>0.99991653084402576</v>
      </c>
      <c r="S23" s="13"/>
      <c r="T23" s="20">
        <f>T12-T19</f>
        <v>131130</v>
      </c>
      <c r="U23" s="13"/>
      <c r="V23" s="22">
        <f>IF(T$12=0,0,T23/T$12)</f>
        <v>1</v>
      </c>
      <c r="W23" s="16"/>
      <c r="X23" s="20">
        <f>+P23-T23</f>
        <v>-32179.550000000003</v>
      </c>
      <c r="Y23" s="16"/>
      <c r="Z23" s="22">
        <f>IF(T23=0,0,X23/T23)</f>
        <v>-0.24540189125295511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17624.769999999997</v>
      </c>
      <c r="E25" s="21"/>
      <c r="F25" s="32">
        <f t="shared" ref="F25:F35" si="14">IF(D$12=0,0,D25/D$12)</f>
        <v>2.2742489718970127</v>
      </c>
      <c r="G25" s="21"/>
      <c r="H25" s="21">
        <f>SUM(OSRRefH22x_0)</f>
        <v>17989.633819615396</v>
      </c>
      <c r="I25" s="21"/>
      <c r="J25" s="32">
        <f t="shared" ref="J25:J35" si="15">IF(H$12=0,0,H25/H$12)</f>
        <v>1.014643757451517</v>
      </c>
      <c r="K25" s="4"/>
      <c r="L25" s="21">
        <f t="shared" ref="L25:L35" si="16">+D25-H25</f>
        <v>-364.86381961539882</v>
      </c>
      <c r="M25" s="4"/>
      <c r="N25" s="32">
        <f t="shared" ref="N25:N35" si="17">IF(H25=0,0,L25/H25)</f>
        <v>-2.0281892520656063E-2</v>
      </c>
      <c r="O25" s="10"/>
      <c r="P25" s="21">
        <f>SUM(OSRRefP22x_0)</f>
        <v>142997.83999999997</v>
      </c>
      <c r="Q25" s="21"/>
      <c r="R25" s="32">
        <f t="shared" ref="R25:R35" si="18">IF(P$12=0,0,P25/P$12)</f>
        <v>1.4450253039878953</v>
      </c>
      <c r="S25" s="21"/>
      <c r="T25" s="21">
        <f>SUM(OSRRefT22x_0)</f>
        <v>193405.38206019238</v>
      </c>
      <c r="U25" s="21"/>
      <c r="V25" s="32">
        <f t="shared" ref="V25:V35" si="19">IF(T$12=0,0,T25/T$12)</f>
        <v>1.4749133078638936</v>
      </c>
      <c r="W25" s="4"/>
      <c r="X25" s="21">
        <f t="shared" ref="X25:X35" si="20">+P25-T25</f>
        <v>-50407.542060192412</v>
      </c>
      <c r="Y25" s="4"/>
      <c r="Z25" s="32">
        <f t="shared" ref="Z25:Z35" si="21">IF(T25=0,0,X25/T25)</f>
        <v>-0.2606315373607565</v>
      </c>
    </row>
    <row r="26" spans="1:26" s="28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4512.1400000000003</v>
      </c>
      <c r="E26" s="1"/>
      <c r="F26" s="5">
        <f t="shared" si="14"/>
        <v>0.58223339970140831</v>
      </c>
      <c r="G26" s="1"/>
      <c r="H26" s="1">
        <f>SUM(OSRRefH22_0x_0)</f>
        <v>4222.6376657692326</v>
      </c>
      <c r="I26" s="1"/>
      <c r="J26" s="5">
        <f t="shared" si="15"/>
        <v>0.23816343292550662</v>
      </c>
      <c r="K26" s="1"/>
      <c r="L26" s="1">
        <f t="shared" si="16"/>
        <v>289.5023342307677</v>
      </c>
      <c r="M26" s="1"/>
      <c r="N26" s="5">
        <f t="shared" si="17"/>
        <v>6.8559596428937136E-2</v>
      </c>
      <c r="O26" s="14"/>
      <c r="P26" s="1">
        <f>SUM(OSRRefP22_0x_0)</f>
        <v>52347.419999999991</v>
      </c>
      <c r="Q26" s="1"/>
      <c r="R26" s="5">
        <f t="shared" si="18"/>
        <v>0.5289824412626235</v>
      </c>
      <c r="S26" s="1"/>
      <c r="T26" s="1">
        <f>SUM(OSRRefT22_0x_0)</f>
        <v>39644.270521730767</v>
      </c>
      <c r="U26" s="1"/>
      <c r="V26" s="5">
        <f t="shared" si="19"/>
        <v>0.30232799909807645</v>
      </c>
      <c r="W26" s="1"/>
      <c r="X26" s="1">
        <f t="shared" si="20"/>
        <v>12703.149478269224</v>
      </c>
      <c r="Y26" s="1"/>
      <c r="Z26" s="5">
        <f t="shared" si="21"/>
        <v>0.32042838248987504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6">
        <v>690.61</v>
      </c>
      <c r="E27" s="2"/>
      <c r="F27" s="7">
        <f t="shared" si="14"/>
        <v>8.9114302341636017E-2</v>
      </c>
      <c r="G27" s="2"/>
      <c r="H27" s="6">
        <v>704.06716961538496</v>
      </c>
      <c r="I27" s="2"/>
      <c r="J27" s="7">
        <f t="shared" si="15"/>
        <v>3.9710500260315001E-2</v>
      </c>
      <c r="K27" s="2"/>
      <c r="L27" s="6">
        <f t="shared" si="16"/>
        <v>-13.457169615384942</v>
      </c>
      <c r="M27" s="2"/>
      <c r="N27" s="7">
        <f t="shared" si="17"/>
        <v>-1.9113474106080348E-2</v>
      </c>
      <c r="O27" s="11"/>
      <c r="P27" s="6">
        <v>9162.2900000000009</v>
      </c>
      <c r="Q27" s="2"/>
      <c r="R27" s="7">
        <f t="shared" si="18"/>
        <v>9.2586999163590575E-2</v>
      </c>
      <c r="S27" s="2"/>
      <c r="T27" s="6">
        <v>6408.5500851923098</v>
      </c>
      <c r="U27" s="2"/>
      <c r="V27" s="7">
        <f t="shared" si="19"/>
        <v>4.8871730993611757E-2</v>
      </c>
      <c r="W27" s="2"/>
      <c r="X27" s="6">
        <f t="shared" si="20"/>
        <v>2753.7399148076911</v>
      </c>
      <c r="Y27" s="2"/>
      <c r="Z27" s="7">
        <f t="shared" si="21"/>
        <v>0.42969780655542089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172.02</v>
      </c>
      <c r="E28" s="2"/>
      <c r="F28" s="7">
        <f t="shared" si="14"/>
        <v>2.2196959628166736E-2</v>
      </c>
      <c r="G28" s="2"/>
      <c r="H28" s="6">
        <v>150.0702</v>
      </c>
      <c r="I28" s="2"/>
      <c r="J28" s="7">
        <f t="shared" si="15"/>
        <v>8.4641962774957696E-3</v>
      </c>
      <c r="K28" s="2"/>
      <c r="L28" s="6">
        <f t="shared" si="16"/>
        <v>21.94980000000001</v>
      </c>
      <c r="M28" s="2"/>
      <c r="N28" s="7">
        <f t="shared" si="17"/>
        <v>0.14626354865922755</v>
      </c>
      <c r="O28" s="11"/>
      <c r="P28" s="6">
        <v>2010.06</v>
      </c>
      <c r="Q28" s="2"/>
      <c r="R28" s="7">
        <f t="shared" si="18"/>
        <v>2.0312107948860694E-2</v>
      </c>
      <c r="S28" s="2"/>
      <c r="T28" s="6">
        <v>1312.8813</v>
      </c>
      <c r="U28" s="2"/>
      <c r="V28" s="7">
        <f t="shared" si="19"/>
        <v>1.0012059025394647E-2</v>
      </c>
      <c r="W28" s="2"/>
      <c r="X28" s="6">
        <f t="shared" si="20"/>
        <v>697.17869999999994</v>
      </c>
      <c r="Y28" s="2"/>
      <c r="Z28" s="7">
        <f t="shared" si="21"/>
        <v>0.53102949977275171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6">
        <v>1393.42</v>
      </c>
      <c r="E29" s="2"/>
      <c r="F29" s="7">
        <f t="shared" si="14"/>
        <v>0.17980285713917041</v>
      </c>
      <c r="G29" s="2"/>
      <c r="H29" s="6">
        <v>1326</v>
      </c>
      <c r="I29" s="2"/>
      <c r="J29" s="7">
        <f t="shared" si="15"/>
        <v>7.4788494077834181E-2</v>
      </c>
      <c r="K29" s="2"/>
      <c r="L29" s="6">
        <f t="shared" si="16"/>
        <v>67.420000000000073</v>
      </c>
      <c r="M29" s="2"/>
      <c r="N29" s="7">
        <f t="shared" si="17"/>
        <v>5.0844645550527957E-2</v>
      </c>
      <c r="O29" s="11"/>
      <c r="P29" s="6">
        <v>17886.02</v>
      </c>
      <c r="Q29" s="2"/>
      <c r="R29" s="7">
        <f t="shared" si="18"/>
        <v>0.18074225098528468</v>
      </c>
      <c r="S29" s="2"/>
      <c r="T29" s="6">
        <v>12898.5</v>
      </c>
      <c r="U29" s="2"/>
      <c r="V29" s="7">
        <f t="shared" si="19"/>
        <v>9.8364218714253035E-2</v>
      </c>
      <c r="W29" s="2"/>
      <c r="X29" s="6">
        <f t="shared" si="20"/>
        <v>4987.5200000000004</v>
      </c>
      <c r="Y29" s="2"/>
      <c r="Z29" s="7">
        <f t="shared" si="21"/>
        <v>0.38667441950614417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30.22</v>
      </c>
      <c r="E30" s="2"/>
      <c r="F30" s="7">
        <f t="shared" si="14"/>
        <v>3.8995007555121422E-3</v>
      </c>
      <c r="G30" s="2"/>
      <c r="H30" s="6">
        <v>20.201757692307702</v>
      </c>
      <c r="I30" s="2"/>
      <c r="J30" s="7">
        <f t="shared" si="15"/>
        <v>1.1394110373552002E-3</v>
      </c>
      <c r="K30" s="2"/>
      <c r="L30" s="6">
        <f t="shared" si="16"/>
        <v>10.018242307692297</v>
      </c>
      <c r="M30" s="2"/>
      <c r="N30" s="7">
        <f t="shared" si="17"/>
        <v>0.49590943819244898</v>
      </c>
      <c r="O30" s="11"/>
      <c r="P30" s="6">
        <v>353.12</v>
      </c>
      <c r="Q30" s="2"/>
      <c r="R30" s="7">
        <f t="shared" si="18"/>
        <v>3.5683569440224114E-3</v>
      </c>
      <c r="S30" s="2"/>
      <c r="T30" s="6">
        <v>176.73402115384599</v>
      </c>
      <c r="U30" s="2"/>
      <c r="V30" s="7">
        <f t="shared" si="19"/>
        <v>1.3477771764954319E-3</v>
      </c>
      <c r="W30" s="2"/>
      <c r="X30" s="6">
        <f t="shared" si="20"/>
        <v>176.38597884615402</v>
      </c>
      <c r="Y30" s="2"/>
      <c r="Z30" s="7">
        <f t="shared" si="21"/>
        <v>0.99803070000094096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6">
        <v>810.13</v>
      </c>
      <c r="E31" s="2"/>
      <c r="F31" s="7">
        <f t="shared" si="14"/>
        <v>0.10453681492597788</v>
      </c>
      <c r="G31" s="2"/>
      <c r="H31" s="6">
        <v>762.81007692307799</v>
      </c>
      <c r="I31" s="2"/>
      <c r="J31" s="7">
        <f t="shared" si="15"/>
        <v>4.3023693001865648E-2</v>
      </c>
      <c r="K31" s="2"/>
      <c r="L31" s="6">
        <f t="shared" si="16"/>
        <v>47.319923076922009</v>
      </c>
      <c r="M31" s="2"/>
      <c r="N31" s="7">
        <f t="shared" si="17"/>
        <v>6.2033688998701791E-2</v>
      </c>
      <c r="O31" s="11"/>
      <c r="P31" s="6">
        <v>11646.04</v>
      </c>
      <c r="Q31" s="2"/>
      <c r="R31" s="7">
        <f t="shared" si="18"/>
        <v>0.11768585099785558</v>
      </c>
      <c r="S31" s="2"/>
      <c r="T31" s="6">
        <v>6775.8589615384599</v>
      </c>
      <c r="U31" s="2"/>
      <c r="V31" s="7">
        <f t="shared" si="19"/>
        <v>5.1672835823522154E-2</v>
      </c>
      <c r="W31" s="2"/>
      <c r="X31" s="6">
        <f t="shared" si="20"/>
        <v>4870.181038461541</v>
      </c>
      <c r="Y31" s="2"/>
      <c r="Z31" s="7">
        <f t="shared" si="21"/>
        <v>0.7187547831361244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4"/>
        <v>0</v>
      </c>
      <c r="G32" s="2"/>
      <c r="H32" s="6">
        <v>0</v>
      </c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/>
      <c r="Q32" s="2"/>
      <c r="R32" s="7">
        <f t="shared" si="18"/>
        <v>0</v>
      </c>
      <c r="S32" s="2"/>
      <c r="T32" s="6">
        <v>0</v>
      </c>
      <c r="U32" s="2"/>
      <c r="V32" s="7">
        <f t="shared" si="19"/>
        <v>0</v>
      </c>
      <c r="W32" s="2"/>
      <c r="X32" s="6">
        <f t="shared" si="20"/>
        <v>0</v>
      </c>
      <c r="Y32" s="2"/>
      <c r="Z32" s="7">
        <f t="shared" si="21"/>
        <v>0</v>
      </c>
    </row>
    <row r="33" spans="1:26" s="24" customFormat="1" hidden="1" outlineLevel="2" x14ac:dyDescent="0.3">
      <c r="A33" s="29"/>
      <c r="B33" s="11" t="str">
        <f>CONCATENATE("          ", "6118", " - ", "VACATION")</f>
        <v xml:space="preserve">          6118 - VACATION</v>
      </c>
      <c r="C33" s="11"/>
      <c r="D33" s="6">
        <v>639.32000000000005</v>
      </c>
      <c r="E33" s="2"/>
      <c r="F33" s="7">
        <f t="shared" si="14"/>
        <v>8.2495990172535505E-2</v>
      </c>
      <c r="G33" s="2"/>
      <c r="H33" s="6">
        <v>620.89192307692304</v>
      </c>
      <c r="I33" s="2"/>
      <c r="J33" s="7">
        <f t="shared" si="15"/>
        <v>3.5019285001518505E-2</v>
      </c>
      <c r="K33" s="2"/>
      <c r="L33" s="6">
        <f t="shared" si="16"/>
        <v>18.428076923077015</v>
      </c>
      <c r="M33" s="2"/>
      <c r="N33" s="7">
        <f t="shared" si="17"/>
        <v>2.9680007483031696E-2</v>
      </c>
      <c r="O33" s="11"/>
      <c r="P33" s="6">
        <v>5242.5600000000004</v>
      </c>
      <c r="Q33" s="2"/>
      <c r="R33" s="7">
        <f t="shared" si="18"/>
        <v>5.2977246772921767E-2</v>
      </c>
      <c r="S33" s="2"/>
      <c r="T33" s="6">
        <v>6149.2782692307601</v>
      </c>
      <c r="U33" s="2"/>
      <c r="V33" s="7">
        <f t="shared" si="19"/>
        <v>4.6894518944793413E-2</v>
      </c>
      <c r="W33" s="2"/>
      <c r="X33" s="6">
        <f t="shared" si="20"/>
        <v>-906.71826923075969</v>
      </c>
      <c r="Y33" s="2"/>
      <c r="Z33" s="7">
        <f t="shared" si="21"/>
        <v>-0.14745116898802907</v>
      </c>
    </row>
    <row r="34" spans="1:26" s="24" customFormat="1" hidden="1" outlineLevel="2" x14ac:dyDescent="0.3">
      <c r="A34" s="29"/>
      <c r="B34" s="11" t="str">
        <f>CONCATENATE("          ", "6119", " - ", "SICK LEAVE")</f>
        <v xml:space="preserve">          6119 - SICK LEAVE</v>
      </c>
      <c r="C34" s="11"/>
      <c r="D34" s="6">
        <v>410.1</v>
      </c>
      <c r="E34" s="2"/>
      <c r="F34" s="7">
        <f t="shared" si="14"/>
        <v>5.2918109193763385E-2</v>
      </c>
      <c r="G34" s="2"/>
      <c r="H34" s="6">
        <v>288.59653846153901</v>
      </c>
      <c r="I34" s="2"/>
      <c r="J34" s="7">
        <f t="shared" si="15"/>
        <v>1.6277300533645744E-2</v>
      </c>
      <c r="K34" s="2"/>
      <c r="L34" s="6">
        <f t="shared" si="16"/>
        <v>121.50346153846101</v>
      </c>
      <c r="M34" s="2"/>
      <c r="N34" s="7">
        <f t="shared" si="17"/>
        <v>0.42101496499637908</v>
      </c>
      <c r="O34" s="11"/>
      <c r="P34" s="6">
        <v>3455.13</v>
      </c>
      <c r="Q34" s="2"/>
      <c r="R34" s="7">
        <f t="shared" si="18"/>
        <v>3.4914864997734919E-2</v>
      </c>
      <c r="S34" s="2"/>
      <c r="T34" s="6">
        <v>2947.4678846153902</v>
      </c>
      <c r="U34" s="2"/>
      <c r="V34" s="7">
        <f t="shared" si="19"/>
        <v>2.247744897899329E-2</v>
      </c>
      <c r="W34" s="2"/>
      <c r="X34" s="6">
        <f t="shared" si="20"/>
        <v>507.66211538460993</v>
      </c>
      <c r="Y34" s="2"/>
      <c r="Z34" s="7">
        <f t="shared" si="21"/>
        <v>0.1722366910372134</v>
      </c>
    </row>
    <row r="35" spans="1:26" s="24" customFormat="1" hidden="1" outlineLevel="2" x14ac:dyDescent="0.3">
      <c r="A35" s="29"/>
      <c r="B35" s="11" t="str">
        <f>CONCATENATE("          ", "6156", " - ", "EMPLOYEE MEALS")</f>
        <v xml:space="preserve">          6156 - EMPLOYEE MEALS</v>
      </c>
      <c r="C35" s="11"/>
      <c r="D35" s="6">
        <v>366.32</v>
      </c>
      <c r="E35" s="2"/>
      <c r="F35" s="7">
        <f t="shared" si="14"/>
        <v>4.7268865544646189E-2</v>
      </c>
      <c r="G35" s="2"/>
      <c r="H35" s="6">
        <v>350</v>
      </c>
      <c r="I35" s="2"/>
      <c r="J35" s="7">
        <f t="shared" si="15"/>
        <v>1.9740552735476594E-2</v>
      </c>
      <c r="K35" s="2"/>
      <c r="L35" s="6">
        <f t="shared" si="16"/>
        <v>16.319999999999993</v>
      </c>
      <c r="M35" s="2"/>
      <c r="N35" s="7">
        <f t="shared" si="17"/>
        <v>4.6628571428571408E-2</v>
      </c>
      <c r="O35" s="11"/>
      <c r="P35" s="6">
        <v>2592.1999999999998</v>
      </c>
      <c r="Q35" s="2"/>
      <c r="R35" s="7">
        <f t="shared" si="18"/>
        <v>2.6194763452353009E-2</v>
      </c>
      <c r="S35" s="2"/>
      <c r="T35" s="6">
        <v>2975</v>
      </c>
      <c r="U35" s="2"/>
      <c r="V35" s="7">
        <f t="shared" si="19"/>
        <v>2.2687409441012735E-2</v>
      </c>
      <c r="W35" s="2"/>
      <c r="X35" s="6">
        <f t="shared" si="20"/>
        <v>-382.80000000000018</v>
      </c>
      <c r="Y35" s="2"/>
      <c r="Z35" s="7">
        <f t="shared" si="21"/>
        <v>-0.12867226890756309</v>
      </c>
    </row>
    <row r="36" spans="1:26" s="28" customFormat="1" outlineLevel="1" collapsed="1" x14ac:dyDescent="0.3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10711.42</v>
      </c>
      <c r="E36" s="1"/>
      <c r="F36" s="5">
        <f t="shared" ref="F36:F46" si="22">IF(D$12=0,0,D36/D$12)</f>
        <v>1.3821704296031725</v>
      </c>
      <c r="G36" s="1"/>
      <c r="H36" s="1">
        <f>SUM(OSRRefH22_1x_0)</f>
        <v>8761.9961538461594</v>
      </c>
      <c r="I36" s="1"/>
      <c r="J36" s="5">
        <f t="shared" ref="J36:J46" si="23">IF(H$12=0,0,H36/H$12)</f>
        <v>0.49419042040869482</v>
      </c>
      <c r="K36" s="1"/>
      <c r="L36" s="1">
        <f t="shared" ref="L36:L46" si="24">+D36-H36</f>
        <v>1949.4238461538407</v>
      </c>
      <c r="M36" s="1"/>
      <c r="N36" s="5">
        <f t="shared" ref="N36:N46" si="25">IF(H36=0,0,L36/H36)</f>
        <v>0.22248627047138375</v>
      </c>
      <c r="O36" s="14"/>
      <c r="P36" s="1">
        <f>SUM(OSRRefP22_1x_0)</f>
        <v>88061.58</v>
      </c>
      <c r="Q36" s="1"/>
      <c r="R36" s="5">
        <f t="shared" ref="R36:R46" si="26">IF(P$12=0,0,P36/P$12)</f>
        <v>0.88988205282789168</v>
      </c>
      <c r="S36" s="1"/>
      <c r="T36" s="1">
        <f>SUM(OSRRefT22_1x_0)</f>
        <v>75391.111538461613</v>
      </c>
      <c r="U36" s="1"/>
      <c r="V36" s="5">
        <f t="shared" ref="V36:V46" si="27">IF(T$12=0,0,T36/T$12)</f>
        <v>0.57493412291971036</v>
      </c>
      <c r="W36" s="1"/>
      <c r="X36" s="1">
        <f t="shared" ref="X36:X46" si="28">+P36-T36</f>
        <v>12670.468461538389</v>
      </c>
      <c r="Y36" s="1"/>
      <c r="Z36" s="5">
        <f t="shared" ref="Z36:Z46" si="29">IF(T36=0,0,X36/T36)</f>
        <v>0.16806316027154486</v>
      </c>
    </row>
    <row r="37" spans="1:26" s="24" customFormat="1" hidden="1" outlineLevel="2" x14ac:dyDescent="0.3">
      <c r="A37" s="29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3">
      <c r="A38" s="29"/>
      <c r="B38" s="11" t="str">
        <f>CONCATENATE("          ", "6002", " - ", "STAFF SALARIES")</f>
        <v xml:space="preserve">          6002 - STAFF SALARIES</v>
      </c>
      <c r="C38" s="11"/>
      <c r="D38" s="6">
        <v>7763.16</v>
      </c>
      <c r="E38" s="2"/>
      <c r="F38" s="7">
        <f t="shared" si="22"/>
        <v>1.0017355488140847</v>
      </c>
      <c r="G38" s="2"/>
      <c r="H38" s="6">
        <v>7982.8961538461599</v>
      </c>
      <c r="I38" s="2"/>
      <c r="J38" s="7">
        <f t="shared" si="23"/>
        <v>0.45024795001952395</v>
      </c>
      <c r="K38" s="2"/>
      <c r="L38" s="6">
        <f t="shared" si="24"/>
        <v>-219.73615384616005</v>
      </c>
      <c r="M38" s="2"/>
      <c r="N38" s="7">
        <f t="shared" si="25"/>
        <v>-2.7525869009368379E-2</v>
      </c>
      <c r="O38" s="11"/>
      <c r="P38" s="6">
        <v>74024.17</v>
      </c>
      <c r="Q38" s="2"/>
      <c r="R38" s="7">
        <f t="shared" si="26"/>
        <v>0.74803087065302287</v>
      </c>
      <c r="S38" s="2"/>
      <c r="T38" s="6">
        <v>69853.411538461602</v>
      </c>
      <c r="U38" s="2"/>
      <c r="V38" s="7">
        <f t="shared" si="27"/>
        <v>0.53270351207550981</v>
      </c>
      <c r="W38" s="2"/>
      <c r="X38" s="6">
        <f t="shared" si="28"/>
        <v>4170.7584615383967</v>
      </c>
      <c r="Y38" s="2"/>
      <c r="Z38" s="7">
        <f t="shared" si="29"/>
        <v>5.9707298035715242E-2</v>
      </c>
    </row>
    <row r="39" spans="1:26" s="24" customFormat="1" hidden="1" outlineLevel="2" x14ac:dyDescent="0.3">
      <c r="A39" s="29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9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2"/>
        <v>0</v>
      </c>
      <c r="G40" s="2"/>
      <c r="H40" s="6">
        <v>346.5</v>
      </c>
      <c r="I40" s="2"/>
      <c r="J40" s="7">
        <f t="shared" si="23"/>
        <v>1.9543147208121829E-2</v>
      </c>
      <c r="K40" s="2"/>
      <c r="L40" s="6">
        <f t="shared" si="24"/>
        <v>-346.5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346.5</v>
      </c>
      <c r="U40" s="2"/>
      <c r="V40" s="7">
        <f t="shared" si="27"/>
        <v>2.6424159231297185E-3</v>
      </c>
      <c r="W40" s="2"/>
      <c r="X40" s="6">
        <f t="shared" si="28"/>
        <v>-346.5</v>
      </c>
      <c r="Y40" s="2"/>
      <c r="Z40" s="7">
        <f t="shared" si="29"/>
        <v>-1</v>
      </c>
    </row>
    <row r="41" spans="1:26" s="24" customFormat="1" hidden="1" outlineLevel="2" x14ac:dyDescent="0.3">
      <c r="A41" s="29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3">
      <c r="A42" s="29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3">
      <c r="A43" s="29"/>
      <c r="B43" s="11" t="str">
        <f>CONCATENATE("          ", "6007", " - ", "STUDENT HOURLY")</f>
        <v xml:space="preserve">          6007 - STUDENT HOURLY</v>
      </c>
      <c r="C43" s="11"/>
      <c r="D43" s="6">
        <v>2948.26</v>
      </c>
      <c r="E43" s="2"/>
      <c r="F43" s="7">
        <f t="shared" si="22"/>
        <v>0.38043488078908766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2948.26</v>
      </c>
      <c r="M43" s="2"/>
      <c r="N43" s="7">
        <f t="shared" si="25"/>
        <v>0</v>
      </c>
      <c r="O43" s="11"/>
      <c r="P43" s="6">
        <v>14037.41</v>
      </c>
      <c r="Q43" s="2"/>
      <c r="R43" s="7">
        <f t="shared" si="26"/>
        <v>0.1418511821748687</v>
      </c>
      <c r="S43" s="2"/>
      <c r="T43" s="6">
        <v>4758.6000000000004</v>
      </c>
      <c r="U43" s="2"/>
      <c r="V43" s="7">
        <f t="shared" si="27"/>
        <v>3.6289178677648137E-2</v>
      </c>
      <c r="W43" s="2"/>
      <c r="X43" s="6">
        <f t="shared" si="28"/>
        <v>9278.81</v>
      </c>
      <c r="Y43" s="2"/>
      <c r="Z43" s="7">
        <f t="shared" si="29"/>
        <v>1.9499033329130413</v>
      </c>
    </row>
    <row r="44" spans="1:26" s="24" customFormat="1" hidden="1" outlineLevel="2" x14ac:dyDescent="0.3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2"/>
        <v>0</v>
      </c>
      <c r="G44" s="2"/>
      <c r="H44" s="6">
        <v>432.6</v>
      </c>
      <c r="I44" s="2"/>
      <c r="J44" s="7">
        <f t="shared" si="23"/>
        <v>2.4399323181049072E-2</v>
      </c>
      <c r="K44" s="2"/>
      <c r="L44" s="6">
        <f t="shared" si="24"/>
        <v>-432.6</v>
      </c>
      <c r="M44" s="2"/>
      <c r="N44" s="7">
        <f t="shared" si="25"/>
        <v>-1</v>
      </c>
      <c r="O44" s="11"/>
      <c r="P44" s="6"/>
      <c r="Q44" s="2"/>
      <c r="R44" s="7">
        <f t="shared" si="26"/>
        <v>0</v>
      </c>
      <c r="S44" s="2"/>
      <c r="T44" s="6">
        <v>432.6</v>
      </c>
      <c r="U44" s="2"/>
      <c r="V44" s="7">
        <f t="shared" si="27"/>
        <v>3.2990162434225578E-3</v>
      </c>
      <c r="W44" s="2"/>
      <c r="X44" s="6">
        <f t="shared" si="28"/>
        <v>-432.6</v>
      </c>
      <c r="Y44" s="2"/>
      <c r="Z44" s="7">
        <f t="shared" si="29"/>
        <v>-1</v>
      </c>
    </row>
    <row r="45" spans="1:26" s="24" customFormat="1" hidden="1" outlineLevel="2" x14ac:dyDescent="0.3">
      <c r="A45" s="29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2"/>
        <v>0</v>
      </c>
      <c r="G45" s="2"/>
      <c r="H45" s="6">
        <v>0</v>
      </c>
      <c r="I45" s="2"/>
      <c r="J45" s="7">
        <f t="shared" si="23"/>
        <v>0</v>
      </c>
      <c r="K45" s="2"/>
      <c r="L45" s="6">
        <f t="shared" si="24"/>
        <v>0</v>
      </c>
      <c r="M45" s="2"/>
      <c r="N45" s="7">
        <f t="shared" si="25"/>
        <v>0</v>
      </c>
      <c r="O45" s="11"/>
      <c r="P45" s="6"/>
      <c r="Q45" s="2"/>
      <c r="R45" s="7">
        <f t="shared" si="26"/>
        <v>0</v>
      </c>
      <c r="S45" s="2"/>
      <c r="T45" s="6">
        <v>0</v>
      </c>
      <c r="U45" s="2"/>
      <c r="V45" s="7">
        <f t="shared" si="27"/>
        <v>0</v>
      </c>
      <c r="W45" s="2"/>
      <c r="X45" s="6">
        <f t="shared" si="28"/>
        <v>0</v>
      </c>
      <c r="Y45" s="2"/>
      <c r="Z45" s="7">
        <f t="shared" si="29"/>
        <v>0</v>
      </c>
    </row>
    <row r="46" spans="1:26" s="24" customFormat="1" hidden="1" outlineLevel="2" x14ac:dyDescent="0.3">
      <c r="A46" s="29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2"/>
        <v>0</v>
      </c>
      <c r="G46" s="2"/>
      <c r="H46" s="6">
        <v>0</v>
      </c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/>
      <c r="Q46" s="2"/>
      <c r="R46" s="7">
        <f t="shared" si="26"/>
        <v>0</v>
      </c>
      <c r="S46" s="2"/>
      <c r="T46" s="6">
        <v>0</v>
      </c>
      <c r="U46" s="2"/>
      <c r="V46" s="7">
        <f t="shared" si="27"/>
        <v>0</v>
      </c>
      <c r="W46" s="2"/>
      <c r="X46" s="6">
        <f t="shared" si="28"/>
        <v>0</v>
      </c>
      <c r="Y46" s="2"/>
      <c r="Z46" s="7">
        <f t="shared" si="29"/>
        <v>0</v>
      </c>
    </row>
    <row r="47" spans="1:26" s="28" customFormat="1" outlineLevel="1" collapsed="1" x14ac:dyDescent="0.3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30">IF(D$12=0,0,D47/D$12)</f>
        <v>0</v>
      </c>
      <c r="G47" s="1"/>
      <c r="H47" s="1">
        <f>SUM(OSRRefH22_2x_0)</f>
        <v>50</v>
      </c>
      <c r="I47" s="1"/>
      <c r="J47" s="5">
        <f t="shared" ref="J47:J55" si="31">IF(H$12=0,0,H47/H$12)</f>
        <v>2.8200789622109417E-3</v>
      </c>
      <c r="K47" s="1"/>
      <c r="L47" s="1">
        <f t="shared" ref="L47:L55" si="32">+D47-H47</f>
        <v>-50</v>
      </c>
      <c r="M47" s="1"/>
      <c r="N47" s="5">
        <f t="shared" ref="N47:N55" si="33">IF(H47=0,0,L47/H47)</f>
        <v>-1</v>
      </c>
      <c r="O47" s="14"/>
      <c r="P47" s="1">
        <f>SUM(OSRRefP22_2x_0)</f>
        <v>97.75</v>
      </c>
      <c r="Q47" s="1"/>
      <c r="R47" s="5">
        <f t="shared" ref="R47:R55" si="34">IF(P$12=0,0,P47/P$12)</f>
        <v>9.8778571385985136E-4</v>
      </c>
      <c r="S47" s="1"/>
      <c r="T47" s="1">
        <f>SUM(OSRRefT22_2x_0)</f>
        <v>300</v>
      </c>
      <c r="U47" s="1"/>
      <c r="V47" s="5">
        <f t="shared" ref="V47:V55" si="35">IF(T$12=0,0,T47/T$12)</f>
        <v>2.2878059940517046E-3</v>
      </c>
      <c r="W47" s="1"/>
      <c r="X47" s="1">
        <f t="shared" ref="X47:X55" si="36">+P47-T47</f>
        <v>-202.25</v>
      </c>
      <c r="Y47" s="1"/>
      <c r="Z47" s="5">
        <f t="shared" ref="Z47:Z55" si="37">IF(T47=0,0,X47/T47)</f>
        <v>-0.67416666666666669</v>
      </c>
    </row>
    <row r="48" spans="1:26" s="24" customFormat="1" hidden="1" outlineLevel="2" x14ac:dyDescent="0.3">
      <c r="A48" s="29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30"/>
        <v>0</v>
      </c>
      <c r="G48" s="2"/>
      <c r="H48" s="6">
        <v>50</v>
      </c>
      <c r="I48" s="2"/>
      <c r="J48" s="7">
        <f t="shared" si="31"/>
        <v>2.8200789622109417E-3</v>
      </c>
      <c r="K48" s="2"/>
      <c r="L48" s="6">
        <f t="shared" si="32"/>
        <v>-50</v>
      </c>
      <c r="M48" s="2"/>
      <c r="N48" s="7">
        <f t="shared" si="33"/>
        <v>-1</v>
      </c>
      <c r="O48" s="11"/>
      <c r="P48" s="6">
        <v>97.75</v>
      </c>
      <c r="Q48" s="2"/>
      <c r="R48" s="7">
        <f t="shared" si="34"/>
        <v>9.8778571385985136E-4</v>
      </c>
      <c r="S48" s="2"/>
      <c r="T48" s="6">
        <v>300</v>
      </c>
      <c r="U48" s="2"/>
      <c r="V48" s="7">
        <f t="shared" si="35"/>
        <v>2.2878059940517046E-3</v>
      </c>
      <c r="W48" s="2"/>
      <c r="X48" s="6">
        <f t="shared" si="36"/>
        <v>-202.25</v>
      </c>
      <c r="Y48" s="2"/>
      <c r="Z48" s="7">
        <f t="shared" si="37"/>
        <v>-0.67416666666666669</v>
      </c>
    </row>
    <row r="49" spans="1:26" s="28" customFormat="1" outlineLevel="1" collapsed="1" x14ac:dyDescent="0.3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SUM(OSRRefD22_3x_0)</f>
        <v>169.88</v>
      </c>
      <c r="E49" s="1"/>
      <c r="F49" s="5">
        <f t="shared" si="30"/>
        <v>2.1920820262951776E-2</v>
      </c>
      <c r="G49" s="1"/>
      <c r="H49" s="1">
        <f>SUM(OSRRefH22_3x_0)</f>
        <v>170</v>
      </c>
      <c r="I49" s="1"/>
      <c r="J49" s="5">
        <f t="shared" si="31"/>
        <v>9.5882684715172025E-3</v>
      </c>
      <c r="K49" s="1"/>
      <c r="L49" s="1">
        <f t="shared" si="32"/>
        <v>-0.12000000000000455</v>
      </c>
      <c r="M49" s="1"/>
      <c r="N49" s="5">
        <f t="shared" si="33"/>
        <v>-7.0588235294120319E-4</v>
      </c>
      <c r="O49" s="14"/>
      <c r="P49" s="1">
        <f>SUM(OSRRefP22_3x_0)</f>
        <v>1019.28</v>
      </c>
      <c r="Q49" s="1"/>
      <c r="R49" s="5">
        <f t="shared" si="34"/>
        <v>1.030005342632296E-2</v>
      </c>
      <c r="S49" s="1"/>
      <c r="T49" s="1">
        <f>SUM(OSRRefT22_3x_0)</f>
        <v>1020</v>
      </c>
      <c r="U49" s="1"/>
      <c r="V49" s="5">
        <f t="shared" si="35"/>
        <v>7.7785403797757946E-3</v>
      </c>
      <c r="W49" s="1"/>
      <c r="X49" s="1">
        <f t="shared" si="36"/>
        <v>-0.72000000000002728</v>
      </c>
      <c r="Y49" s="1"/>
      <c r="Z49" s="5">
        <f t="shared" si="37"/>
        <v>-7.0588235294120319E-4</v>
      </c>
    </row>
    <row r="50" spans="1:26" s="24" customFormat="1" hidden="1" outlineLevel="2" x14ac:dyDescent="0.3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169.88</v>
      </c>
      <c r="E50" s="2"/>
      <c r="F50" s="7">
        <f t="shared" si="30"/>
        <v>2.1920820262951776E-2</v>
      </c>
      <c r="G50" s="2"/>
      <c r="H50" s="6">
        <v>170</v>
      </c>
      <c r="I50" s="2"/>
      <c r="J50" s="7">
        <f t="shared" si="31"/>
        <v>9.5882684715172025E-3</v>
      </c>
      <c r="K50" s="2"/>
      <c r="L50" s="6">
        <f t="shared" si="32"/>
        <v>-0.12000000000000455</v>
      </c>
      <c r="M50" s="2"/>
      <c r="N50" s="7">
        <f t="shared" si="33"/>
        <v>-7.0588235294120319E-4</v>
      </c>
      <c r="O50" s="11"/>
      <c r="P50" s="6">
        <v>1019.28</v>
      </c>
      <c r="Q50" s="2"/>
      <c r="R50" s="7">
        <f t="shared" si="34"/>
        <v>1.030005342632296E-2</v>
      </c>
      <c r="S50" s="2"/>
      <c r="T50" s="6">
        <v>1020</v>
      </c>
      <c r="U50" s="2"/>
      <c r="V50" s="7">
        <f t="shared" si="35"/>
        <v>7.7785403797757946E-3</v>
      </c>
      <c r="W50" s="2"/>
      <c r="X50" s="6">
        <f t="shared" si="36"/>
        <v>-0.72000000000002728</v>
      </c>
      <c r="Y50" s="2"/>
      <c r="Z50" s="7">
        <f t="shared" si="37"/>
        <v>-7.0588235294120319E-4</v>
      </c>
    </row>
    <row r="51" spans="1:26" s="28" customFormat="1" outlineLevel="1" collapsed="1" x14ac:dyDescent="0.3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SUM(OSRRefD22_4x_0)</f>
        <v>1205.6400000000001</v>
      </c>
      <c r="E51" s="1"/>
      <c r="F51" s="5">
        <f t="shared" si="30"/>
        <v>0.15557227302699073</v>
      </c>
      <c r="G51" s="1"/>
      <c r="H51" s="1">
        <f>SUM(OSRRefH22_4x_0)</f>
        <v>1300</v>
      </c>
      <c r="I51" s="1"/>
      <c r="J51" s="5">
        <f t="shared" si="31"/>
        <v>7.3322053017484484E-2</v>
      </c>
      <c r="K51" s="1"/>
      <c r="L51" s="1">
        <f t="shared" si="32"/>
        <v>-94.3599999999999</v>
      </c>
      <c r="M51" s="1"/>
      <c r="N51" s="5">
        <f t="shared" si="33"/>
        <v>-7.2584615384615303E-2</v>
      </c>
      <c r="O51" s="14"/>
      <c r="P51" s="1">
        <f>SUM(OSRRefP22_4x_0)</f>
        <v>7233.84</v>
      </c>
      <c r="Q51" s="1"/>
      <c r="R51" s="5">
        <f t="shared" si="34"/>
        <v>7.3099578602025039E-2</v>
      </c>
      <c r="S51" s="1"/>
      <c r="T51" s="1">
        <f>SUM(OSRRefT22_4x_0)</f>
        <v>7600</v>
      </c>
      <c r="U51" s="1"/>
      <c r="V51" s="5">
        <f t="shared" si="35"/>
        <v>5.7957751849309846E-2</v>
      </c>
      <c r="W51" s="1"/>
      <c r="X51" s="1">
        <f t="shared" si="36"/>
        <v>-366.15999999999985</v>
      </c>
      <c r="Y51" s="1"/>
      <c r="Z51" s="5">
        <f t="shared" si="37"/>
        <v>-4.8178947368421036E-2</v>
      </c>
    </row>
    <row r="52" spans="1:26" s="24" customFormat="1" hidden="1" outlineLevel="2" x14ac:dyDescent="0.3">
      <c r="A52" s="29"/>
      <c r="B52" s="11" t="str">
        <f>CONCATENATE("          ", "6351", " - ", "EQUIPMENT RENTAL")</f>
        <v xml:space="preserve">          6351 - EQUIPMENT RENTAL</v>
      </c>
      <c r="C52" s="11"/>
      <c r="D52" s="6">
        <v>1205.6400000000001</v>
      </c>
      <c r="E52" s="2"/>
      <c r="F52" s="7">
        <f t="shared" si="30"/>
        <v>0.15557227302699073</v>
      </c>
      <c r="G52" s="2"/>
      <c r="H52" s="6">
        <v>1300</v>
      </c>
      <c r="I52" s="2"/>
      <c r="J52" s="7">
        <f t="shared" si="31"/>
        <v>7.3322053017484484E-2</v>
      </c>
      <c r="K52" s="2"/>
      <c r="L52" s="6">
        <f t="shared" si="32"/>
        <v>-94.3599999999999</v>
      </c>
      <c r="M52" s="2"/>
      <c r="N52" s="7">
        <f t="shared" si="33"/>
        <v>-7.2584615384615303E-2</v>
      </c>
      <c r="O52" s="11"/>
      <c r="P52" s="6">
        <v>7233.84</v>
      </c>
      <c r="Q52" s="2"/>
      <c r="R52" s="7">
        <f t="shared" si="34"/>
        <v>7.3099578602025039E-2</v>
      </c>
      <c r="S52" s="2"/>
      <c r="T52" s="6">
        <v>7600</v>
      </c>
      <c r="U52" s="2"/>
      <c r="V52" s="7">
        <f t="shared" si="35"/>
        <v>5.7957751849309846E-2</v>
      </c>
      <c r="W52" s="2"/>
      <c r="X52" s="6">
        <f t="shared" si="36"/>
        <v>-366.15999999999985</v>
      </c>
      <c r="Y52" s="2"/>
      <c r="Z52" s="7">
        <f t="shared" si="37"/>
        <v>-4.8178947368421036E-2</v>
      </c>
    </row>
    <row r="53" spans="1:26" s="28" customFormat="1" outlineLevel="1" collapsed="1" x14ac:dyDescent="0.3">
      <c r="A53" s="27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SUM(OSRRefD22_5x_0)</f>
        <v>-4174.8600000000006</v>
      </c>
      <c r="E53" s="1"/>
      <c r="F53" s="5">
        <f t="shared" si="30"/>
        <v>-0.53871177115014635</v>
      </c>
      <c r="G53" s="1"/>
      <c r="H53" s="1">
        <f>SUM(OSRRefH22_5x_0)</f>
        <v>-1700</v>
      </c>
      <c r="I53" s="1"/>
      <c r="J53" s="5">
        <f t="shared" si="31"/>
        <v>-9.5882684715172029E-2</v>
      </c>
      <c r="K53" s="1"/>
      <c r="L53" s="1">
        <f t="shared" si="32"/>
        <v>-2474.8600000000006</v>
      </c>
      <c r="M53" s="1"/>
      <c r="N53" s="5">
        <f t="shared" si="33"/>
        <v>1.4558000000000004</v>
      </c>
      <c r="O53" s="14"/>
      <c r="P53" s="1">
        <f>SUM(OSRRefP22_5x_0)</f>
        <v>-47148.020000000004</v>
      </c>
      <c r="Q53" s="1"/>
      <c r="R53" s="5">
        <f t="shared" si="34"/>
        <v>-0.47644133598750438</v>
      </c>
      <c r="S53" s="1"/>
      <c r="T53" s="1">
        <f>SUM(OSRRefT22_5x_0)</f>
        <v>-200</v>
      </c>
      <c r="U53" s="1"/>
      <c r="V53" s="5">
        <f t="shared" si="35"/>
        <v>-1.5252039960344697E-3</v>
      </c>
      <c r="W53" s="1"/>
      <c r="X53" s="1">
        <f t="shared" si="36"/>
        <v>-46948.020000000004</v>
      </c>
      <c r="Y53" s="1"/>
      <c r="Z53" s="5">
        <f t="shared" si="37"/>
        <v>234.74010000000001</v>
      </c>
    </row>
    <row r="54" spans="1:26" s="24" customFormat="1" hidden="1" outlineLevel="2" x14ac:dyDescent="0.3">
      <c r="A54" s="29"/>
      <c r="B54" s="11" t="str">
        <f>CONCATENATE("          ", "6305", " - ", "FREIGHT OUT")</f>
        <v xml:space="preserve">          6305 - FREIGHT OUT</v>
      </c>
      <c r="C54" s="11"/>
      <c r="D54" s="6">
        <v>10292.709999999999</v>
      </c>
      <c r="E54" s="2"/>
      <c r="F54" s="7">
        <f t="shared" si="30"/>
        <v>1.3281413110942217</v>
      </c>
      <c r="G54" s="2"/>
      <c r="H54" s="6">
        <v>8000</v>
      </c>
      <c r="I54" s="2"/>
      <c r="J54" s="7">
        <f t="shared" si="31"/>
        <v>0.45121263395375072</v>
      </c>
      <c r="K54" s="2"/>
      <c r="L54" s="6">
        <f t="shared" si="32"/>
        <v>2292.7099999999991</v>
      </c>
      <c r="M54" s="2"/>
      <c r="N54" s="7">
        <f t="shared" si="33"/>
        <v>0.28658874999999989</v>
      </c>
      <c r="O54" s="11"/>
      <c r="P54" s="6">
        <v>72714.61</v>
      </c>
      <c r="Q54" s="2"/>
      <c r="R54" s="7">
        <f t="shared" si="34"/>
        <v>0.7347974726024622</v>
      </c>
      <c r="S54" s="2"/>
      <c r="T54" s="6">
        <v>91300</v>
      </c>
      <c r="U54" s="2"/>
      <c r="V54" s="7">
        <f t="shared" si="35"/>
        <v>0.69625562418973541</v>
      </c>
      <c r="W54" s="2"/>
      <c r="X54" s="6">
        <f t="shared" si="36"/>
        <v>-18585.39</v>
      </c>
      <c r="Y54" s="2"/>
      <c r="Z54" s="7">
        <f t="shared" si="37"/>
        <v>-0.20356396495071194</v>
      </c>
    </row>
    <row r="55" spans="1:26" s="24" customFormat="1" hidden="1" outlineLevel="2" x14ac:dyDescent="0.3">
      <c r="A55" s="29"/>
      <c r="B55" s="11" t="str">
        <f>CONCATENATE("          ", "6307", " - ", "POSTAGE")</f>
        <v xml:space="preserve">          6307 - POSTAGE</v>
      </c>
      <c r="C55" s="11"/>
      <c r="D55" s="6">
        <v>-14467.57</v>
      </c>
      <c r="E55" s="2"/>
      <c r="F55" s="7">
        <f t="shared" si="30"/>
        <v>-1.8668530822443681</v>
      </c>
      <c r="G55" s="2"/>
      <c r="H55" s="6">
        <v>-9700</v>
      </c>
      <c r="I55" s="2"/>
      <c r="J55" s="7">
        <f t="shared" si="31"/>
        <v>-0.54709531866892269</v>
      </c>
      <c r="K55" s="2"/>
      <c r="L55" s="6">
        <f t="shared" si="32"/>
        <v>-4767.57</v>
      </c>
      <c r="M55" s="2"/>
      <c r="N55" s="7">
        <f t="shared" si="33"/>
        <v>0.49150206185567008</v>
      </c>
      <c r="O55" s="11"/>
      <c r="P55" s="6">
        <v>-119862.63</v>
      </c>
      <c r="Q55" s="2"/>
      <c r="R55" s="7">
        <f t="shared" si="34"/>
        <v>-1.2112388085899666</v>
      </c>
      <c r="S55" s="2"/>
      <c r="T55" s="6">
        <v>-91500</v>
      </c>
      <c r="U55" s="2"/>
      <c r="V55" s="7">
        <f t="shared" si="35"/>
        <v>-0.69778082818576981</v>
      </c>
      <c r="W55" s="2"/>
      <c r="X55" s="6">
        <f t="shared" si="36"/>
        <v>-28362.630000000005</v>
      </c>
      <c r="Y55" s="2"/>
      <c r="Z55" s="7">
        <f t="shared" si="37"/>
        <v>0.30997409836065581</v>
      </c>
    </row>
    <row r="56" spans="1:26" s="28" customFormat="1" outlineLevel="1" collapsed="1" x14ac:dyDescent="0.3">
      <c r="A56" s="27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0</v>
      </c>
      <c r="E56" s="1"/>
      <c r="F56" s="5">
        <f t="shared" ref="F56:F61" si="38">IF(D$12=0,0,D56/D$12)</f>
        <v>0</v>
      </c>
      <c r="G56" s="1"/>
      <c r="H56" s="1">
        <f>SUM(OSRRefH22_6x_0)</f>
        <v>0</v>
      </c>
      <c r="I56" s="1"/>
      <c r="J56" s="5">
        <f t="shared" ref="J56:J61" si="39">IF(H$12=0,0,H56/H$12)</f>
        <v>0</v>
      </c>
      <c r="K56" s="1"/>
      <c r="L56" s="1">
        <f t="shared" ref="L56:L61" si="40">+D56-H56</f>
        <v>0</v>
      </c>
      <c r="M56" s="1"/>
      <c r="N56" s="5">
        <f t="shared" ref="N56:N61" si="41">IF(H56=0,0,L56/H56)</f>
        <v>0</v>
      </c>
      <c r="O56" s="14"/>
      <c r="P56" s="1">
        <f>SUM(OSRRefP22_6x_0)</f>
        <v>91.31</v>
      </c>
      <c r="Q56" s="1"/>
      <c r="R56" s="5">
        <f t="shared" ref="R56:R61" si="42">IF(P$12=0,0,P56/P$12)</f>
        <v>9.2270806682908464E-4</v>
      </c>
      <c r="S56" s="1"/>
      <c r="T56" s="1">
        <f>SUM(OSRRefT22_6x_0)</f>
        <v>0</v>
      </c>
      <c r="U56" s="1"/>
      <c r="V56" s="5">
        <f t="shared" ref="V56:V61" si="43">IF(T$12=0,0,T56/T$12)</f>
        <v>0</v>
      </c>
      <c r="W56" s="1"/>
      <c r="X56" s="1">
        <f t="shared" ref="X56:X61" si="44">+P56-T56</f>
        <v>91.31</v>
      </c>
      <c r="Y56" s="1"/>
      <c r="Z56" s="5">
        <f t="shared" ref="Z56:Z61" si="45">IF(T56=0,0,X56/T56)</f>
        <v>0</v>
      </c>
    </row>
    <row r="57" spans="1:26" s="24" customFormat="1" hidden="1" outlineLevel="2" x14ac:dyDescent="0.3">
      <c r="A57" s="29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>
        <v>91.31</v>
      </c>
      <c r="Q57" s="2"/>
      <c r="R57" s="7">
        <f t="shared" si="42"/>
        <v>9.2270806682908464E-4</v>
      </c>
      <c r="S57" s="2"/>
      <c r="T57" s="6"/>
      <c r="U57" s="2"/>
      <c r="V57" s="7">
        <f t="shared" si="43"/>
        <v>0</v>
      </c>
      <c r="W57" s="2"/>
      <c r="X57" s="6">
        <f t="shared" si="44"/>
        <v>91.31</v>
      </c>
      <c r="Y57" s="2"/>
      <c r="Z57" s="7">
        <f t="shared" si="45"/>
        <v>0</v>
      </c>
    </row>
    <row r="58" spans="1:26" s="28" customFormat="1" outlineLevel="1" collapsed="1" x14ac:dyDescent="0.3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SUM(OSRRefD22_7x_0)</f>
        <v>700.73</v>
      </c>
      <c r="E58" s="1"/>
      <c r="F58" s="5">
        <f t="shared" si="38"/>
        <v>9.0420157657512365E-2</v>
      </c>
      <c r="G58" s="1"/>
      <c r="H58" s="1">
        <f>SUM(OSRRefH22_7x_0)</f>
        <v>500</v>
      </c>
      <c r="I58" s="1"/>
      <c r="J58" s="5">
        <f t="shared" si="39"/>
        <v>2.820078962210942E-2</v>
      </c>
      <c r="K58" s="1"/>
      <c r="L58" s="1">
        <f t="shared" si="40"/>
        <v>200.73000000000002</v>
      </c>
      <c r="M58" s="1"/>
      <c r="N58" s="5">
        <f t="shared" si="41"/>
        <v>0.40146000000000004</v>
      </c>
      <c r="O58" s="14"/>
      <c r="P58" s="1">
        <f>SUM(OSRRefP22_7x_0)</f>
        <v>13228.75</v>
      </c>
      <c r="Q58" s="1"/>
      <c r="R58" s="5">
        <f t="shared" si="42"/>
        <v>0.13367949117364203</v>
      </c>
      <c r="S58" s="1"/>
      <c r="T58" s="1">
        <f>SUM(OSRRefT22_7x_0)</f>
        <v>28100</v>
      </c>
      <c r="U58" s="1"/>
      <c r="V58" s="5">
        <f t="shared" si="43"/>
        <v>0.21429116144284299</v>
      </c>
      <c r="W58" s="1"/>
      <c r="X58" s="1">
        <f t="shared" si="44"/>
        <v>-14871.25</v>
      </c>
      <c r="Y58" s="1"/>
      <c r="Z58" s="5">
        <f t="shared" si="45"/>
        <v>-0.52922597864768683</v>
      </c>
    </row>
    <row r="59" spans="1:26" s="24" customFormat="1" hidden="1" outlineLevel="2" x14ac:dyDescent="0.3">
      <c r="A59" s="29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/>
      <c r="Q59" s="2"/>
      <c r="R59" s="7">
        <f t="shared" si="42"/>
        <v>0</v>
      </c>
      <c r="S59" s="2"/>
      <c r="T59" s="6">
        <v>100</v>
      </c>
      <c r="U59" s="2"/>
      <c r="V59" s="7">
        <f t="shared" si="43"/>
        <v>7.6260199801723484E-4</v>
      </c>
      <c r="W59" s="2"/>
      <c r="X59" s="6">
        <f t="shared" si="44"/>
        <v>-100</v>
      </c>
      <c r="Y59" s="2"/>
      <c r="Z59" s="7">
        <f t="shared" si="45"/>
        <v>-1</v>
      </c>
    </row>
    <row r="60" spans="1:26" s="24" customFormat="1" hidden="1" outlineLevel="2" x14ac:dyDescent="0.3">
      <c r="A60" s="29"/>
      <c r="B60" s="11" t="str">
        <f>CONCATENATE("          ", "6373", " - ", "MAINTENANCE CONTRACTS")</f>
        <v xml:space="preserve">          6373 - MAINTENANCE CONTRACTS</v>
      </c>
      <c r="C60" s="11"/>
      <c r="D60" s="6">
        <v>700.73</v>
      </c>
      <c r="E60" s="2"/>
      <c r="F60" s="7">
        <f t="shared" si="38"/>
        <v>9.0420157657512365E-2</v>
      </c>
      <c r="G60" s="2"/>
      <c r="H60" s="6">
        <v>500</v>
      </c>
      <c r="I60" s="2"/>
      <c r="J60" s="7">
        <f t="shared" si="39"/>
        <v>2.820078962210942E-2</v>
      </c>
      <c r="K60" s="2"/>
      <c r="L60" s="6">
        <f t="shared" si="40"/>
        <v>200.73000000000002</v>
      </c>
      <c r="M60" s="2"/>
      <c r="N60" s="7">
        <f t="shared" si="41"/>
        <v>0.40146000000000004</v>
      </c>
      <c r="O60" s="11"/>
      <c r="P60" s="6">
        <v>5331.14</v>
      </c>
      <c r="Q60" s="2"/>
      <c r="R60" s="7">
        <f t="shared" si="42"/>
        <v>5.3872367576335636E-2</v>
      </c>
      <c r="S60" s="2"/>
      <c r="T60" s="6">
        <v>28000</v>
      </c>
      <c r="U60" s="2"/>
      <c r="V60" s="7">
        <f t="shared" si="43"/>
        <v>0.21352855944482574</v>
      </c>
      <c r="W60" s="2"/>
      <c r="X60" s="6">
        <f t="shared" si="44"/>
        <v>-22668.86</v>
      </c>
      <c r="Y60" s="2"/>
      <c r="Z60" s="7">
        <f t="shared" si="45"/>
        <v>-0.80960214285714283</v>
      </c>
    </row>
    <row r="61" spans="1:26" s="24" customFormat="1" hidden="1" outlineLevel="2" x14ac:dyDescent="0.3">
      <c r="A61" s="29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>
        <v>7897.61</v>
      </c>
      <c r="Q61" s="2"/>
      <c r="R61" s="7">
        <f t="shared" si="42"/>
        <v>7.9807123597306392E-2</v>
      </c>
      <c r="S61" s="2"/>
      <c r="T61" s="6"/>
      <c r="U61" s="2"/>
      <c r="V61" s="7">
        <f t="shared" si="43"/>
        <v>0</v>
      </c>
      <c r="W61" s="2"/>
      <c r="X61" s="6">
        <f t="shared" si="44"/>
        <v>7897.61</v>
      </c>
      <c r="Y61" s="2"/>
      <c r="Z61" s="7">
        <f t="shared" si="45"/>
        <v>0</v>
      </c>
    </row>
    <row r="62" spans="1:26" s="28" customFormat="1" outlineLevel="1" collapsed="1" x14ac:dyDescent="0.3">
      <c r="A62" s="27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1">
        <f>SUM(OSRRefD22_8x_0)</f>
        <v>1121.23</v>
      </c>
      <c r="E62" s="1"/>
      <c r="F62" s="5">
        <f t="shared" ref="F62:F68" si="46">IF(D$12=0,0,D62/D$12)</f>
        <v>0.14468025255138581</v>
      </c>
      <c r="G62" s="1"/>
      <c r="H62" s="1">
        <f>SUM(OSRRefH22_8x_0)</f>
        <v>3000</v>
      </c>
      <c r="I62" s="1"/>
      <c r="J62" s="5">
        <f t="shared" ref="J62:J68" si="47">IF(H$12=0,0,H62/H$12)</f>
        <v>0.16920473773265651</v>
      </c>
      <c r="K62" s="1"/>
      <c r="L62" s="1">
        <f t="shared" ref="L62:L68" si="48">+D62-H62</f>
        <v>-1878.77</v>
      </c>
      <c r="M62" s="1"/>
      <c r="N62" s="5">
        <f t="shared" ref="N62:N68" si="49">IF(H62=0,0,L62/H62)</f>
        <v>-0.62625666666666668</v>
      </c>
      <c r="O62" s="14"/>
      <c r="P62" s="1">
        <f>SUM(OSRRefP22_8x_0)</f>
        <v>5614.14</v>
      </c>
      <c r="Q62" s="1"/>
      <c r="R62" s="5">
        <f t="shared" ref="R62:R68" si="50">IF(P$12=0,0,P62/P$12)</f>
        <v>5.6732146164799449E-2</v>
      </c>
      <c r="S62" s="1"/>
      <c r="T62" s="1">
        <f>SUM(OSRRefT22_8x_0)</f>
        <v>18700</v>
      </c>
      <c r="U62" s="1"/>
      <c r="V62" s="5">
        <f t="shared" ref="V62:V68" si="51">IF(T$12=0,0,T62/T$12)</f>
        <v>0.14260657362922291</v>
      </c>
      <c r="W62" s="1"/>
      <c r="X62" s="1">
        <f t="shared" ref="X62:X68" si="52">+P62-T62</f>
        <v>-13085.86</v>
      </c>
      <c r="Y62" s="1"/>
      <c r="Z62" s="5">
        <f t="shared" ref="Z62:Z68" si="53">IF(T62=0,0,X62/T62)</f>
        <v>-0.69977860962566851</v>
      </c>
    </row>
    <row r="63" spans="1:26" s="24" customFormat="1" hidden="1" outlineLevel="2" x14ac:dyDescent="0.3">
      <c r="A63" s="29"/>
      <c r="B63" s="11" t="str">
        <f>CONCATENATE("          ", "6259", " - ", "ROYALTY &amp; COMMISSIONS")</f>
        <v xml:space="preserve">          6259 - ROYALTY &amp; COMMISSIONS</v>
      </c>
      <c r="C63" s="11"/>
      <c r="D63" s="6">
        <v>1121.23</v>
      </c>
      <c r="E63" s="2"/>
      <c r="F63" s="7">
        <f t="shared" si="46"/>
        <v>0.14468025255138581</v>
      </c>
      <c r="G63" s="2"/>
      <c r="H63" s="6">
        <v>3000</v>
      </c>
      <c r="I63" s="2"/>
      <c r="J63" s="7">
        <f t="shared" si="47"/>
        <v>0.16920473773265651</v>
      </c>
      <c r="K63" s="2"/>
      <c r="L63" s="6">
        <f t="shared" si="48"/>
        <v>-1878.77</v>
      </c>
      <c r="M63" s="2"/>
      <c r="N63" s="7">
        <f t="shared" si="49"/>
        <v>-0.62625666666666668</v>
      </c>
      <c r="O63" s="11"/>
      <c r="P63" s="6">
        <v>5614.14</v>
      </c>
      <c r="Q63" s="2"/>
      <c r="R63" s="7">
        <f t="shared" si="50"/>
        <v>5.6732146164799449E-2</v>
      </c>
      <c r="S63" s="2"/>
      <c r="T63" s="6">
        <v>18700</v>
      </c>
      <c r="U63" s="2"/>
      <c r="V63" s="7">
        <f t="shared" si="51"/>
        <v>0.14260657362922291</v>
      </c>
      <c r="W63" s="2"/>
      <c r="X63" s="6">
        <f t="shared" si="52"/>
        <v>-13085.86</v>
      </c>
      <c r="Y63" s="2"/>
      <c r="Z63" s="7">
        <f t="shared" si="53"/>
        <v>-0.69977860962566851</v>
      </c>
    </row>
    <row r="64" spans="1:26" s="28" customFormat="1" outlineLevel="1" collapsed="1" x14ac:dyDescent="0.3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SUM(OSRRefD22_9x_0)</f>
        <v>3328.09</v>
      </c>
      <c r="E64" s="1"/>
      <c r="F64" s="5">
        <f t="shared" si="46"/>
        <v>0.42944703737301143</v>
      </c>
      <c r="G64" s="1"/>
      <c r="H64" s="1">
        <f>SUM(OSRRefH22_9x_0)</f>
        <v>1510</v>
      </c>
      <c r="I64" s="1"/>
      <c r="J64" s="5">
        <f t="shared" si="47"/>
        <v>8.5166384658770439E-2</v>
      </c>
      <c r="K64" s="1"/>
      <c r="L64" s="1">
        <f t="shared" si="48"/>
        <v>1818.0900000000001</v>
      </c>
      <c r="M64" s="1"/>
      <c r="N64" s="5">
        <f t="shared" si="49"/>
        <v>1.2040331125827815</v>
      </c>
      <c r="O64" s="14"/>
      <c r="P64" s="1">
        <f>SUM(OSRRefP22_9x_0)</f>
        <v>21822.239999999998</v>
      </c>
      <c r="Q64" s="1"/>
      <c r="R64" s="5">
        <f t="shared" si="50"/>
        <v>0.22051863853116113</v>
      </c>
      <c r="S64" s="1"/>
      <c r="T64" s="1">
        <f>SUM(OSRRefT22_9x_0)</f>
        <v>21800</v>
      </c>
      <c r="U64" s="1"/>
      <c r="V64" s="5">
        <f t="shared" si="51"/>
        <v>0.1662472355677572</v>
      </c>
      <c r="W64" s="1"/>
      <c r="X64" s="1">
        <f t="shared" si="52"/>
        <v>22.239999999997963</v>
      </c>
      <c r="Y64" s="1"/>
      <c r="Z64" s="5">
        <f t="shared" si="53"/>
        <v>1.0201834862384386E-3</v>
      </c>
    </row>
    <row r="65" spans="1:26" s="24" customFormat="1" hidden="1" outlineLevel="2" x14ac:dyDescent="0.3">
      <c r="A65" s="29"/>
      <c r="B65" s="11" t="str">
        <f>CONCATENATE("          ", "6241", " - ", "OFFICE EXPENSE")</f>
        <v xml:space="preserve">          6241 - OFFICE EXPENSE</v>
      </c>
      <c r="C65" s="11"/>
      <c r="D65" s="6">
        <v>9.98</v>
      </c>
      <c r="E65" s="2"/>
      <c r="F65" s="7">
        <f t="shared" si="46"/>
        <v>1.2877901237594699E-3</v>
      </c>
      <c r="G65" s="2"/>
      <c r="H65" s="6"/>
      <c r="I65" s="2"/>
      <c r="J65" s="7">
        <f t="shared" si="47"/>
        <v>0</v>
      </c>
      <c r="K65" s="2"/>
      <c r="L65" s="6">
        <f t="shared" si="48"/>
        <v>9.98</v>
      </c>
      <c r="M65" s="2"/>
      <c r="N65" s="7">
        <f t="shared" si="49"/>
        <v>0</v>
      </c>
      <c r="O65" s="11"/>
      <c r="P65" s="6">
        <v>4852.8500000000004</v>
      </c>
      <c r="Q65" s="2"/>
      <c r="R65" s="7">
        <f t="shared" si="50"/>
        <v>4.9039139657337902E-2</v>
      </c>
      <c r="S65" s="2"/>
      <c r="T65" s="6"/>
      <c r="U65" s="2"/>
      <c r="V65" s="7">
        <f t="shared" si="51"/>
        <v>0</v>
      </c>
      <c r="W65" s="2"/>
      <c r="X65" s="6">
        <f t="shared" si="52"/>
        <v>4852.8500000000004</v>
      </c>
      <c r="Y65" s="2"/>
      <c r="Z65" s="7">
        <f t="shared" si="53"/>
        <v>0</v>
      </c>
    </row>
    <row r="66" spans="1:26" s="24" customFormat="1" hidden="1" outlineLevel="2" x14ac:dyDescent="0.3">
      <c r="A66" s="29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6"/>
        <v>0</v>
      </c>
      <c r="G66" s="2"/>
      <c r="H66" s="6">
        <v>1200</v>
      </c>
      <c r="I66" s="2"/>
      <c r="J66" s="7">
        <f t="shared" si="47"/>
        <v>6.7681895093062605E-2</v>
      </c>
      <c r="K66" s="2"/>
      <c r="L66" s="6">
        <f t="shared" si="48"/>
        <v>-1200</v>
      </c>
      <c r="M66" s="2"/>
      <c r="N66" s="7">
        <f t="shared" si="49"/>
        <v>-1</v>
      </c>
      <c r="O66" s="11"/>
      <c r="P66" s="6">
        <v>4470.8999999999996</v>
      </c>
      <c r="Q66" s="2"/>
      <c r="R66" s="7">
        <f t="shared" si="50"/>
        <v>4.5179449085381164E-2</v>
      </c>
      <c r="S66" s="2"/>
      <c r="T66" s="6">
        <v>18900</v>
      </c>
      <c r="U66" s="2"/>
      <c r="V66" s="7">
        <f t="shared" si="51"/>
        <v>0.14413177762525739</v>
      </c>
      <c r="W66" s="2"/>
      <c r="X66" s="6">
        <f t="shared" si="52"/>
        <v>-14429.1</v>
      </c>
      <c r="Y66" s="2"/>
      <c r="Z66" s="7">
        <f t="shared" si="53"/>
        <v>-0.76344444444444448</v>
      </c>
    </row>
    <row r="67" spans="1:26" s="24" customFormat="1" hidden="1" outlineLevel="2" x14ac:dyDescent="0.3">
      <c r="A67" s="29"/>
      <c r="B67" s="11" t="str">
        <f>CONCATENATE("          ", "6245", " - ", "PRINTING")</f>
        <v xml:space="preserve">          6245 - PRINTING</v>
      </c>
      <c r="C67" s="11"/>
      <c r="D67" s="6">
        <v>812.04</v>
      </c>
      <c r="E67" s="2"/>
      <c r="F67" s="7">
        <f t="shared" si="46"/>
        <v>0.10478327576128656</v>
      </c>
      <c r="G67" s="2"/>
      <c r="H67" s="6">
        <v>160</v>
      </c>
      <c r="I67" s="2"/>
      <c r="J67" s="7">
        <f t="shared" si="47"/>
        <v>9.0242526790750149E-3</v>
      </c>
      <c r="K67" s="2"/>
      <c r="L67" s="6">
        <f t="shared" si="48"/>
        <v>652.04</v>
      </c>
      <c r="M67" s="2"/>
      <c r="N67" s="7">
        <f t="shared" si="49"/>
        <v>4.0752499999999996</v>
      </c>
      <c r="O67" s="11"/>
      <c r="P67" s="6">
        <v>1081.93</v>
      </c>
      <c r="Q67" s="2"/>
      <c r="R67" s="7">
        <f t="shared" si="50"/>
        <v>1.0933145753415745E-2</v>
      </c>
      <c r="S67" s="2"/>
      <c r="T67" s="6">
        <v>2145</v>
      </c>
      <c r="U67" s="2"/>
      <c r="V67" s="7">
        <f t="shared" si="51"/>
        <v>1.6357812857469685E-2</v>
      </c>
      <c r="W67" s="2"/>
      <c r="X67" s="6">
        <f t="shared" si="52"/>
        <v>-1063.07</v>
      </c>
      <c r="Y67" s="2"/>
      <c r="Z67" s="7">
        <f t="shared" si="53"/>
        <v>-0.49560372960372956</v>
      </c>
    </row>
    <row r="68" spans="1:26" s="24" customFormat="1" hidden="1" outlineLevel="2" x14ac:dyDescent="0.3">
      <c r="A68" s="29"/>
      <c r="B68" s="11" t="str">
        <f>CONCATENATE("          ", "6247", " - ", "STORE SUPPLIES")</f>
        <v xml:space="preserve">          6247 - STORE SUPPLIES</v>
      </c>
      <c r="C68" s="11"/>
      <c r="D68" s="6">
        <v>2506.0700000000002</v>
      </c>
      <c r="E68" s="2"/>
      <c r="F68" s="7">
        <f t="shared" si="46"/>
        <v>0.32337597148796543</v>
      </c>
      <c r="G68" s="2"/>
      <c r="H68" s="6">
        <v>150</v>
      </c>
      <c r="I68" s="2"/>
      <c r="J68" s="7">
        <f t="shared" si="47"/>
        <v>8.4602368866328256E-3</v>
      </c>
      <c r="K68" s="2"/>
      <c r="L68" s="6">
        <f t="shared" si="48"/>
        <v>2356.0700000000002</v>
      </c>
      <c r="M68" s="2"/>
      <c r="N68" s="7">
        <f t="shared" si="49"/>
        <v>15.707133333333335</v>
      </c>
      <c r="O68" s="11"/>
      <c r="P68" s="6">
        <v>11416.56</v>
      </c>
      <c r="Q68" s="2"/>
      <c r="R68" s="7">
        <f t="shared" si="50"/>
        <v>0.11536690403502634</v>
      </c>
      <c r="S68" s="2"/>
      <c r="T68" s="6">
        <v>755</v>
      </c>
      <c r="U68" s="2"/>
      <c r="V68" s="7">
        <f t="shared" si="51"/>
        <v>5.7576450850301232E-3</v>
      </c>
      <c r="W68" s="2"/>
      <c r="X68" s="6">
        <f t="shared" si="52"/>
        <v>10661.56</v>
      </c>
      <c r="Y68" s="2"/>
      <c r="Z68" s="7">
        <f t="shared" si="53"/>
        <v>14.121271523178807</v>
      </c>
    </row>
    <row r="69" spans="1:26" s="28" customFormat="1" outlineLevel="1" collapsed="1" x14ac:dyDescent="0.3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SUM(OSRRefD22_10x_0)</f>
        <v>50.5</v>
      </c>
      <c r="E69" s="1"/>
      <c r="F69" s="5">
        <f t="shared" ref="F69:F70" si="54">IF(D$12=0,0,D69/D$12)</f>
        <v>6.5163728707267766E-3</v>
      </c>
      <c r="G69" s="1"/>
      <c r="H69" s="1">
        <f>SUM(OSRRefH22_10x_0)</f>
        <v>175</v>
      </c>
      <c r="I69" s="1"/>
      <c r="J69" s="5">
        <f t="shared" ref="J69:J70" si="55">IF(H$12=0,0,H69/H$12)</f>
        <v>9.8702763677382972E-3</v>
      </c>
      <c r="K69" s="1"/>
      <c r="L69" s="1">
        <f t="shared" ref="L69:L70" si="56">+D69-H69</f>
        <v>-124.5</v>
      </c>
      <c r="M69" s="1"/>
      <c r="N69" s="5">
        <f t="shared" ref="N69:N70" si="57">IF(H69=0,0,L69/H69)</f>
        <v>-0.71142857142857141</v>
      </c>
      <c r="O69" s="14"/>
      <c r="P69" s="1">
        <f>SUM(OSRRefP22_10x_0)</f>
        <v>629.54999999999995</v>
      </c>
      <c r="Q69" s="1"/>
      <c r="R69" s="5">
        <f t="shared" ref="R69:R70" si="58">IF(P$12=0,0,P69/P$12)</f>
        <v>6.3617442062452109E-3</v>
      </c>
      <c r="S69" s="1"/>
      <c r="T69" s="1">
        <f>SUM(OSRRefT22_10x_0)</f>
        <v>1050</v>
      </c>
      <c r="U69" s="1"/>
      <c r="V69" s="5">
        <f t="shared" ref="V69:V70" si="59">IF(T$12=0,0,T69/T$12)</f>
        <v>8.0073209791809655E-3</v>
      </c>
      <c r="W69" s="1"/>
      <c r="X69" s="1">
        <f t="shared" ref="X69:X70" si="60">+P69-T69</f>
        <v>-420.45000000000005</v>
      </c>
      <c r="Y69" s="1"/>
      <c r="Z69" s="5">
        <f t="shared" ref="Z69:Z70" si="61">IF(T69=0,0,X69/T69)</f>
        <v>-0.40042857142857147</v>
      </c>
    </row>
    <row r="70" spans="1:26" s="24" customFormat="1" hidden="1" outlineLevel="2" x14ac:dyDescent="0.3">
      <c r="A70" s="29"/>
      <c r="B70" s="11" t="str">
        <f>CONCATENATE("          ", "6309", " - ", "TELEPHONE")</f>
        <v xml:space="preserve">          6309 - TELEPHONE</v>
      </c>
      <c r="C70" s="11"/>
      <c r="D70" s="6">
        <v>50.5</v>
      </c>
      <c r="E70" s="2"/>
      <c r="F70" s="7">
        <f t="shared" si="54"/>
        <v>6.5163728707267766E-3</v>
      </c>
      <c r="G70" s="2"/>
      <c r="H70" s="6">
        <v>175</v>
      </c>
      <c r="I70" s="2"/>
      <c r="J70" s="7">
        <f t="shared" si="55"/>
        <v>9.8702763677382972E-3</v>
      </c>
      <c r="K70" s="2"/>
      <c r="L70" s="6">
        <f t="shared" si="56"/>
        <v>-124.5</v>
      </c>
      <c r="M70" s="2"/>
      <c r="N70" s="7">
        <f t="shared" si="57"/>
        <v>-0.71142857142857141</v>
      </c>
      <c r="O70" s="11"/>
      <c r="P70" s="6">
        <v>629.54999999999995</v>
      </c>
      <c r="Q70" s="2"/>
      <c r="R70" s="7">
        <f t="shared" si="58"/>
        <v>6.3617442062452109E-3</v>
      </c>
      <c r="S70" s="2"/>
      <c r="T70" s="6">
        <v>1050</v>
      </c>
      <c r="U70" s="2"/>
      <c r="V70" s="7">
        <f t="shared" si="59"/>
        <v>8.0073209791809655E-3</v>
      </c>
      <c r="W70" s="2"/>
      <c r="X70" s="6">
        <f t="shared" si="60"/>
        <v>-420.45000000000005</v>
      </c>
      <c r="Y70" s="2"/>
      <c r="Z70" s="7">
        <f t="shared" si="61"/>
        <v>-0.40042857142857147</v>
      </c>
    </row>
    <row r="71" spans="1:26" s="55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0</v>
      </c>
      <c r="E72" s="4"/>
      <c r="F72" s="12">
        <f t="shared" ref="F72:F73" si="62">IF(D$12=0,0,D72/D$12)</f>
        <v>0</v>
      </c>
      <c r="G72" s="4"/>
      <c r="H72" s="4">
        <f>SUM(OSRRefH25x_0)</f>
        <v>0</v>
      </c>
      <c r="I72" s="4"/>
      <c r="J72" s="12">
        <f t="shared" ref="J72:J73" si="63">IF(H$12=0,0,H72/H$12)</f>
        <v>0</v>
      </c>
      <c r="K72" s="4"/>
      <c r="L72" s="4">
        <f t="shared" ref="L72:L73" si="64">+D72-H72</f>
        <v>0</v>
      </c>
      <c r="M72" s="4"/>
      <c r="N72" s="12">
        <f t="shared" ref="N72:N73" si="65">IF(H72=0,0,L72/H72)</f>
        <v>0</v>
      </c>
      <c r="O72" s="10"/>
      <c r="P72" s="4">
        <f>SUM(OSRRefP25x_0)</f>
        <v>14899</v>
      </c>
      <c r="Q72" s="4"/>
      <c r="R72" s="12">
        <f t="shared" ref="R72:R73" si="66">IF(P$12=0,0,P72/P$12)</f>
        <v>0.15055774271916036</v>
      </c>
      <c r="S72" s="4"/>
      <c r="T72" s="4">
        <f>SUM(OSRRefT25x_0)</f>
        <v>33910</v>
      </c>
      <c r="U72" s="4"/>
      <c r="V72" s="12">
        <f t="shared" ref="V72:V73" si="67">IF(T$12=0,0,T72/T$12)</f>
        <v>0.25859833752764433</v>
      </c>
      <c r="W72" s="4"/>
      <c r="X72" s="4">
        <f t="shared" ref="X72:X73" si="68">+P72-T72</f>
        <v>-19011</v>
      </c>
      <c r="Y72" s="4"/>
      <c r="Z72" s="12">
        <f t="shared" ref="Z72:Z73" si="69">IF(T72=0,0,X72/T72)</f>
        <v>-0.56063108227661462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2"/>
        <v>0</v>
      </c>
      <c r="G73" s="2"/>
      <c r="H73" s="2"/>
      <c r="I73" s="2"/>
      <c r="J73" s="19">
        <f t="shared" si="63"/>
        <v>0</v>
      </c>
      <c r="K73" s="2"/>
      <c r="L73" s="2">
        <f t="shared" si="64"/>
        <v>0</v>
      </c>
      <c r="M73" s="2"/>
      <c r="N73" s="19">
        <f t="shared" si="65"/>
        <v>0</v>
      </c>
      <c r="O73" s="11"/>
      <c r="P73" s="2">
        <f>--14899</f>
        <v>14899</v>
      </c>
      <c r="Q73" s="2"/>
      <c r="R73" s="19">
        <f t="shared" si="66"/>
        <v>0.15055774271916036</v>
      </c>
      <c r="S73" s="2"/>
      <c r="T73" s="2">
        <v>33910</v>
      </c>
      <c r="U73" s="2"/>
      <c r="V73" s="19">
        <f t="shared" si="67"/>
        <v>0.25859833752764433</v>
      </c>
      <c r="W73" s="2"/>
      <c r="X73" s="2">
        <f t="shared" si="68"/>
        <v>-19011</v>
      </c>
      <c r="Y73" s="2"/>
      <c r="Z73" s="19">
        <f t="shared" si="69"/>
        <v>-0.56063108227661462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+D23-D25+D72</f>
        <v>-9875.0599999999977</v>
      </c>
      <c r="E75" s="13"/>
      <c r="F75" s="22">
        <f>IF(D$12=0,0,D75/D$12)</f>
        <v>-1.2742489718970127</v>
      </c>
      <c r="G75" s="13"/>
      <c r="H75" s="20">
        <f>+H23-H25+H72</f>
        <v>-259.63381961539562</v>
      </c>
      <c r="I75" s="13"/>
      <c r="J75" s="22">
        <f>IF(H$12=0,0,H75/H$12)</f>
        <v>-1.4643757451516956E-2</v>
      </c>
      <c r="K75" s="16"/>
      <c r="L75" s="20">
        <f>+D75-H75</f>
        <v>-9615.426180384602</v>
      </c>
      <c r="M75" s="16"/>
      <c r="N75" s="22">
        <f>IF(H75=0,0,L75/H75)</f>
        <v>37.034567355779224</v>
      </c>
      <c r="O75" s="25"/>
      <c r="P75" s="20">
        <f>+P23-P25+P72</f>
        <v>-29148.38999999997</v>
      </c>
      <c r="Q75" s="13"/>
      <c r="R75" s="22">
        <f>IF(P$12=0,0,P75/P$12)</f>
        <v>-0.2945510304247092</v>
      </c>
      <c r="S75" s="13"/>
      <c r="T75" s="20">
        <f>+T23-T25+T72</f>
        <v>-28365.38206019238</v>
      </c>
      <c r="U75" s="13"/>
      <c r="V75" s="22">
        <f>IF(T$12=0,0,T75/T$12)</f>
        <v>-0.21631497033624936</v>
      </c>
      <c r="W75" s="16"/>
      <c r="X75" s="20">
        <f>+P75-T75</f>
        <v>-783.00793980759045</v>
      </c>
      <c r="Y75" s="16"/>
      <c r="Z75" s="22">
        <f>IF(T75=0,0,X75/T75)</f>
        <v>2.7604350195108211E-2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1047.68</v>
      </c>
      <c r="E77" s="4"/>
      <c r="F77" s="12">
        <f>IF(D$12=0,0,D77/D$12)</f>
        <v>0.13518957483570354</v>
      </c>
      <c r="G77" s="4"/>
      <c r="H77" s="4">
        <v>2801</v>
      </c>
      <c r="I77" s="4"/>
      <c r="J77" s="12">
        <f>IF(H$12=0,0,H77/H$12)</f>
        <v>0.15798082346305697</v>
      </c>
      <c r="K77" s="4"/>
      <c r="L77" s="4">
        <f>+D77-H77</f>
        <v>-1753.32</v>
      </c>
      <c r="M77" s="4"/>
      <c r="N77" s="12">
        <f>IF(H77=0,0,L77/H77)</f>
        <v>-0.62596215637272401</v>
      </c>
      <c r="O77" s="10"/>
      <c r="P77" s="4">
        <v>11911.74</v>
      </c>
      <c r="Q77" s="4"/>
      <c r="R77" s="12">
        <f>IF(P$12=0,0,P77/P$12)</f>
        <v>0.12037080919910942</v>
      </c>
      <c r="S77" s="4"/>
      <c r="T77" s="4">
        <v>16978</v>
      </c>
      <c r="U77" s="4"/>
      <c r="V77" s="12">
        <f>IF(T$12=0,0,T77/T$12)</f>
        <v>0.12947456722336612</v>
      </c>
      <c r="W77" s="4"/>
      <c r="X77" s="4">
        <f>+P77-T77</f>
        <v>-5066.26</v>
      </c>
      <c r="Y77" s="4"/>
      <c r="Z77" s="12">
        <f>IF(T77=0,0,X77/T77)</f>
        <v>-0.29840146071386503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1">
        <f>+D75-D77</f>
        <v>-10922.739999999998</v>
      </c>
      <c r="E79" s="13"/>
      <c r="F79" s="30">
        <f>IF(D$12=0,0,D79/D$12)</f>
        <v>-1.4094385467327164</v>
      </c>
      <c r="G79" s="13"/>
      <c r="H79" s="31">
        <f>+H75-H77</f>
        <v>-3060.6338196153956</v>
      </c>
      <c r="I79" s="13"/>
      <c r="J79" s="30">
        <f>IF(H$12=0,0,H79/H$12)</f>
        <v>-0.17262458091457392</v>
      </c>
      <c r="K79" s="16"/>
      <c r="L79" s="31">
        <f>D79-H79</f>
        <v>-7862.1061803846023</v>
      </c>
      <c r="M79" s="16"/>
      <c r="N79" s="30">
        <f>IF(H79=0,0,L79/H79)</f>
        <v>2.5687836715378674</v>
      </c>
      <c r="O79" s="25"/>
      <c r="P79" s="31">
        <f>+P75-P77</f>
        <v>-41060.129999999968</v>
      </c>
      <c r="Q79" s="13"/>
      <c r="R79" s="30">
        <f>IF(P$12=0,0,P79/P$12)</f>
        <v>-0.41492183962381857</v>
      </c>
      <c r="S79" s="13"/>
      <c r="T79" s="31">
        <f>+T75-T77</f>
        <v>-45343.38206019238</v>
      </c>
      <c r="U79" s="13"/>
      <c r="V79" s="30">
        <f>IF(T$12=0,0,T79/T$12)</f>
        <v>-0.3457895375596155</v>
      </c>
      <c r="W79" s="16"/>
      <c r="X79" s="31">
        <f>P79-T79</f>
        <v>4283.2520601924116</v>
      </c>
      <c r="Y79" s="16"/>
      <c r="Z79" s="30">
        <f>IF(T79=0,0,X79/T79)</f>
        <v>-9.4462562464054517E-2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-10922.739999999998</v>
      </c>
      <c r="E82" s="13"/>
      <c r="F82" s="34">
        <f>IF(D$12=0,0,D82/D$12)</f>
        <v>-1.4094385467327164</v>
      </c>
      <c r="G82" s="13"/>
      <c r="H82" s="35">
        <f>SUM(H79:H81)</f>
        <v>-3060.6338196153956</v>
      </c>
      <c r="I82" s="13"/>
      <c r="J82" s="34">
        <f>IF(H$12=0,0,H82/H$12)</f>
        <v>-0.17262458091457392</v>
      </c>
      <c r="K82" s="16"/>
      <c r="L82" s="35">
        <f>+D82-H82</f>
        <v>-7862.1061803846023</v>
      </c>
      <c r="M82" s="16"/>
      <c r="N82" s="34">
        <f>IF(H82=0,0,L82/H82)</f>
        <v>2.5687836715378674</v>
      </c>
      <c r="O82" s="25"/>
      <c r="P82" s="35">
        <f>SUM(P79:P81)</f>
        <v>-41060.129999999968</v>
      </c>
      <c r="Q82" s="13"/>
      <c r="R82" s="34">
        <f>IF(P$12=0,0,P82/P$12)</f>
        <v>-0.41492183962381857</v>
      </c>
      <c r="S82" s="13"/>
      <c r="T82" s="35">
        <f>SUM(T79:T81)</f>
        <v>-45343.38206019238</v>
      </c>
      <c r="U82" s="13"/>
      <c r="V82" s="34">
        <f>IF(T$12=0,0,T82/T$12)</f>
        <v>-0.3457895375596155</v>
      </c>
      <c r="W82" s="16"/>
      <c r="X82" s="35">
        <f>+P82-T82</f>
        <v>4283.2520601924116</v>
      </c>
      <c r="Y82" s="16"/>
      <c r="Z82" s="34">
        <f>IF(T82=0,0,X82/T82)</f>
        <v>-9.4462562464054517E-2</v>
      </c>
    </row>
    <row r="83" spans="1:26" ht="15" thickTop="1" x14ac:dyDescent="0.3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3">
      <c r="A84" s="9"/>
      <c r="B84" s="61">
        <v>44575.842125659721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3">
      <c r="A85" s="9"/>
      <c r="B85" s="62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53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219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133542.32999999999</v>
      </c>
      <c r="E12" s="4"/>
      <c r="F12" s="12"/>
      <c r="G12" s="4"/>
      <c r="H12" s="4">
        <f>SUM(OSRRefH13x_0)</f>
        <v>63373</v>
      </c>
      <c r="I12" s="4"/>
      <c r="J12" s="12"/>
      <c r="K12" s="4"/>
      <c r="L12" s="4">
        <f t="shared" ref="L12:L17" si="0">+D12-H12</f>
        <v>70169.329999999987</v>
      </c>
      <c r="M12" s="4"/>
      <c r="N12" s="12">
        <f t="shared" ref="N12:N17" si="1">IF(H12=0,0,L12/H12)</f>
        <v>1.1072433055086548</v>
      </c>
      <c r="O12" s="10"/>
      <c r="P12" s="4">
        <f>SUM(OSRRefP13x_0)</f>
        <v>966649.8</v>
      </c>
      <c r="Q12" s="4"/>
      <c r="R12" s="12"/>
      <c r="S12" s="4"/>
      <c r="T12" s="4">
        <f>SUM(OSRRefT13x_0)</f>
        <v>1187538</v>
      </c>
      <c r="U12" s="4"/>
      <c r="V12" s="12"/>
      <c r="W12" s="4"/>
      <c r="X12" s="4">
        <f t="shared" ref="X12:X17" si="2">+P12-T12</f>
        <v>-220888.19999999995</v>
      </c>
      <c r="Y12" s="4"/>
      <c r="Z12" s="12">
        <f t="shared" ref="Z12:Z17" si="3">IF(T12=0,0,X12/T12)</f>
        <v>-0.18600516362423766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--134314.8</f>
        <v>134314.79999999999</v>
      </c>
      <c r="E13" s="2"/>
      <c r="F13" s="19"/>
      <c r="G13" s="2"/>
      <c r="H13" s="2">
        <v>56442</v>
      </c>
      <c r="I13" s="2"/>
      <c r="J13" s="19"/>
      <c r="K13" s="2"/>
      <c r="L13" s="2">
        <f t="shared" si="0"/>
        <v>77872.799999999988</v>
      </c>
      <c r="M13" s="2"/>
      <c r="N13" s="19">
        <f t="shared" si="1"/>
        <v>1.3796959710853618</v>
      </c>
      <c r="O13" s="11"/>
      <c r="P13" s="2">
        <f>--818426.75</f>
        <v>818426.75</v>
      </c>
      <c r="Q13" s="2"/>
      <c r="R13" s="19"/>
      <c r="S13" s="2"/>
      <c r="T13" s="2">
        <v>1121201</v>
      </c>
      <c r="U13" s="2"/>
      <c r="V13" s="19"/>
      <c r="W13" s="2"/>
      <c r="X13" s="2">
        <f t="shared" si="2"/>
        <v>-302774.25</v>
      </c>
      <c r="Y13" s="2"/>
      <c r="Z13" s="19">
        <f t="shared" si="3"/>
        <v>-0.27004457719891439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--38625.69</f>
        <v>38625.69</v>
      </c>
      <c r="E14" s="2"/>
      <c r="F14" s="19"/>
      <c r="G14" s="2"/>
      <c r="H14" s="2">
        <v>6931</v>
      </c>
      <c r="I14" s="2"/>
      <c r="J14" s="19"/>
      <c r="K14" s="2"/>
      <c r="L14" s="2">
        <f t="shared" si="0"/>
        <v>31694.690000000002</v>
      </c>
      <c r="M14" s="2"/>
      <c r="N14" s="19">
        <f t="shared" si="1"/>
        <v>4.5728884720819512</v>
      </c>
      <c r="O14" s="11"/>
      <c r="P14" s="2">
        <f>--340387.58</f>
        <v>340387.58</v>
      </c>
      <c r="Q14" s="2"/>
      <c r="R14" s="19"/>
      <c r="S14" s="2"/>
      <c r="T14" s="2">
        <v>66337</v>
      </c>
      <c r="U14" s="2"/>
      <c r="V14" s="19"/>
      <c r="W14" s="2"/>
      <c r="X14" s="2">
        <f t="shared" si="2"/>
        <v>274050.58</v>
      </c>
      <c r="Y14" s="2"/>
      <c r="Z14" s="19">
        <f t="shared" si="3"/>
        <v>4.1311874218008056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-39012.77</f>
        <v>-39012.769999999997</v>
      </c>
      <c r="E15" s="2"/>
      <c r="F15" s="19"/>
      <c r="G15" s="2"/>
      <c r="H15" s="2"/>
      <c r="I15" s="2"/>
      <c r="J15" s="19"/>
      <c r="K15" s="2"/>
      <c r="L15" s="2">
        <f t="shared" si="0"/>
        <v>-39012.769999999997</v>
      </c>
      <c r="M15" s="2"/>
      <c r="N15" s="19">
        <f t="shared" si="1"/>
        <v>0</v>
      </c>
      <c r="O15" s="11"/>
      <c r="P15" s="2">
        <f>-190982.41</f>
        <v>-190982.41</v>
      </c>
      <c r="Q15" s="2"/>
      <c r="R15" s="19"/>
      <c r="S15" s="2"/>
      <c r="T15" s="2"/>
      <c r="U15" s="2"/>
      <c r="V15" s="19"/>
      <c r="W15" s="2"/>
      <c r="X15" s="2">
        <f t="shared" si="2"/>
        <v>-190982.41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-704.79</f>
        <v>-704.79</v>
      </c>
      <c r="Q16" s="2"/>
      <c r="R16" s="19"/>
      <c r="S16" s="2"/>
      <c r="T16" s="2"/>
      <c r="U16" s="2"/>
      <c r="V16" s="19"/>
      <c r="W16" s="2"/>
      <c r="X16" s="2">
        <f t="shared" si="2"/>
        <v>-704.79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-385.39</f>
        <v>-385.39</v>
      </c>
      <c r="E17" s="2"/>
      <c r="F17" s="19"/>
      <c r="G17" s="2"/>
      <c r="H17" s="2"/>
      <c r="I17" s="2"/>
      <c r="J17" s="19"/>
      <c r="K17" s="2"/>
      <c r="L17" s="2">
        <f t="shared" si="0"/>
        <v>-385.39</v>
      </c>
      <c r="M17" s="2"/>
      <c r="N17" s="19">
        <f t="shared" si="1"/>
        <v>0</v>
      </c>
      <c r="O17" s="11"/>
      <c r="P17" s="2">
        <f>-477.33</f>
        <v>-477.33</v>
      </c>
      <c r="Q17" s="2"/>
      <c r="R17" s="19"/>
      <c r="S17" s="2"/>
      <c r="T17" s="2"/>
      <c r="U17" s="2"/>
      <c r="V17" s="19"/>
      <c r="W17" s="2"/>
      <c r="X17" s="2">
        <f t="shared" si="2"/>
        <v>-477.33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119832.5</v>
      </c>
      <c r="E19" s="4"/>
      <c r="F19" s="12">
        <f t="shared" ref="F19:F29" si="4">IF(D$12=0,0,D19/D$12)</f>
        <v>0.89733719637810727</v>
      </c>
      <c r="G19" s="4"/>
      <c r="H19" s="4">
        <f>SUM(OSRRefH16x_0)</f>
        <v>56719</v>
      </c>
      <c r="I19" s="4"/>
      <c r="J19" s="12">
        <f t="shared" ref="J19:J29" si="5">IF(H$12=0,0,H19/H$12)</f>
        <v>0.89500260363246176</v>
      </c>
      <c r="K19" s="4"/>
      <c r="L19" s="4">
        <f t="shared" ref="L19:L29" si="6">+D19-H19</f>
        <v>63113.5</v>
      </c>
      <c r="M19" s="4"/>
      <c r="N19" s="12">
        <f t="shared" ref="N19:N29" si="7">IF(H19=0,0,L19/H19)</f>
        <v>1.1127399989421534</v>
      </c>
      <c r="O19" s="10"/>
      <c r="P19" s="4">
        <f>SUM(OSRRefP16x_0)</f>
        <v>822492.23</v>
      </c>
      <c r="Q19" s="4"/>
      <c r="R19" s="12">
        <f t="shared" ref="R19:R29" si="8">IF(P$12=0,0,P19/P$12)</f>
        <v>0.8508688772293751</v>
      </c>
      <c r="S19" s="4"/>
      <c r="T19" s="4">
        <f>SUM(OSRRefT16x_0)</f>
        <v>1062845</v>
      </c>
      <c r="U19" s="4"/>
      <c r="V19" s="12">
        <f t="shared" ref="V19:V29" si="9">IF(T$12=0,0,T19/T$12)</f>
        <v>0.89499872846174189</v>
      </c>
      <c r="W19" s="4"/>
      <c r="X19" s="4">
        <f t="shared" ref="X19:X29" si="10">+P19-T19</f>
        <v>-240352.77000000002</v>
      </c>
      <c r="Y19" s="4"/>
      <c r="Z19" s="12">
        <f t="shared" ref="Z19:Z29" si="11">IF(T19=0,0,X19/T19)</f>
        <v>-0.22614094247044492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183675.67</v>
      </c>
      <c r="E20" s="2"/>
      <c r="F20" s="19">
        <f t="shared" si="4"/>
        <v>1.3754116016996261</v>
      </c>
      <c r="G20" s="2"/>
      <c r="H20" s="2">
        <v>56719</v>
      </c>
      <c r="I20" s="2"/>
      <c r="J20" s="19">
        <f t="shared" si="5"/>
        <v>0.89500260363246176</v>
      </c>
      <c r="K20" s="2"/>
      <c r="L20" s="2">
        <f t="shared" si="6"/>
        <v>126956.67000000001</v>
      </c>
      <c r="M20" s="2"/>
      <c r="N20" s="19">
        <f t="shared" si="7"/>
        <v>2.2383446464147818</v>
      </c>
      <c r="O20" s="11"/>
      <c r="P20" s="2">
        <v>927238.18</v>
      </c>
      <c r="Q20" s="2"/>
      <c r="R20" s="19">
        <f t="shared" si="8"/>
        <v>0.95922864723087931</v>
      </c>
      <c r="S20" s="2"/>
      <c r="T20" s="2">
        <v>1062845</v>
      </c>
      <c r="U20" s="2"/>
      <c r="V20" s="19">
        <f t="shared" si="9"/>
        <v>0.89499872846174189</v>
      </c>
      <c r="W20" s="2"/>
      <c r="X20" s="2">
        <f t="shared" si="10"/>
        <v>-135606.81999999995</v>
      </c>
      <c r="Y20" s="2"/>
      <c r="Z20" s="19">
        <f t="shared" si="11"/>
        <v>-0.12758851949249414</v>
      </c>
    </row>
    <row r="21" spans="1:26" s="24" customFormat="1" hidden="1" outlineLevel="1" x14ac:dyDescent="0.3">
      <c r="A21" s="44"/>
      <c r="B21" s="11" t="str">
        <f>CONCATENATE("          ", "5081", " - ", "PURCHASES @ COST-ELECTRONICS")</f>
        <v xml:space="preserve">          5081 - PURCHASES @ COST-ELECTRONICS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"5082", " - ", "PURCHASES @ COST-COMPUTER HARD")</f>
        <v xml:space="preserve">          5082 - PURCHASES @ COST-COMPUTER HARD</v>
      </c>
      <c r="C22" s="11"/>
      <c r="D22" s="2">
        <v>-6160.03</v>
      </c>
      <c r="E22" s="2"/>
      <c r="F22" s="19">
        <f t="shared" si="4"/>
        <v>-4.6127920637598581E-2</v>
      </c>
      <c r="G22" s="2"/>
      <c r="H22" s="2"/>
      <c r="I22" s="2"/>
      <c r="J22" s="19">
        <f t="shared" si="5"/>
        <v>0</v>
      </c>
      <c r="K22" s="2"/>
      <c r="L22" s="2">
        <f t="shared" si="6"/>
        <v>-6160.03</v>
      </c>
      <c r="M22" s="2"/>
      <c r="N22" s="19">
        <f t="shared" si="7"/>
        <v>0</v>
      </c>
      <c r="O22" s="11"/>
      <c r="P22" s="2">
        <v>-86869.48</v>
      </c>
      <c r="Q22" s="2"/>
      <c r="R22" s="19">
        <f t="shared" si="8"/>
        <v>-8.9866547326653348E-2</v>
      </c>
      <c r="S22" s="2"/>
      <c r="T22" s="2"/>
      <c r="U22" s="2"/>
      <c r="V22" s="19">
        <f t="shared" si="9"/>
        <v>0</v>
      </c>
      <c r="W22" s="2"/>
      <c r="X22" s="2">
        <f t="shared" si="10"/>
        <v>-86869.48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"5083", " - ", "PURCHASES @ COST-COMPUTER EQUI")</f>
        <v xml:space="preserve">          5083 - PURCHASES @ COST-COMPUTER EQUI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"5085", " - ", "PURCHASES @ COST-SOFTWARE")</f>
        <v xml:space="preserve">          5085 - PURCHASES @ COST-SOFTWARE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"5086", " - ", "PURCHASES @ COST-COMPUTER SUPP")</f>
        <v xml:space="preserve">          5086 - PURCHASES @ COST-COMPUTER SUPP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"5200", " - ", "PURCHASES OFFSET")</f>
        <v xml:space="preserve">          5200 - PURCHASES OFFSET</v>
      </c>
      <c r="C26" s="11"/>
      <c r="D26" s="2">
        <v>-183675.67</v>
      </c>
      <c r="E26" s="2"/>
      <c r="F26" s="19">
        <f t="shared" si="4"/>
        <v>-1.3754116016996261</v>
      </c>
      <c r="G26" s="2"/>
      <c r="H26" s="2"/>
      <c r="I26" s="2"/>
      <c r="J26" s="19">
        <f t="shared" si="5"/>
        <v>0</v>
      </c>
      <c r="K26" s="2"/>
      <c r="L26" s="2">
        <f t="shared" si="6"/>
        <v>-183675.67</v>
      </c>
      <c r="M26" s="2"/>
      <c r="N26" s="19">
        <f t="shared" si="7"/>
        <v>0</v>
      </c>
      <c r="O26" s="11"/>
      <c r="P26" s="2">
        <v>-927282.37</v>
      </c>
      <c r="Q26" s="2"/>
      <c r="R26" s="19">
        <f t="shared" si="8"/>
        <v>-0.95927436182162351</v>
      </c>
      <c r="S26" s="2"/>
      <c r="T26" s="2"/>
      <c r="U26" s="2"/>
      <c r="V26" s="19">
        <f t="shared" si="9"/>
        <v>0</v>
      </c>
      <c r="W26" s="2"/>
      <c r="X26" s="2">
        <f t="shared" si="10"/>
        <v>-927282.37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"5300", " - ", "COG$ OFFSET")</f>
        <v xml:space="preserve">          5300 - COG$ OFFSET</v>
      </c>
      <c r="C27" s="11"/>
      <c r="D27" s="2">
        <v>125992.53</v>
      </c>
      <c r="E27" s="2"/>
      <c r="F27" s="19">
        <f t="shared" si="4"/>
        <v>0.9434651170157059</v>
      </c>
      <c r="G27" s="2"/>
      <c r="H27" s="2"/>
      <c r="I27" s="2"/>
      <c r="J27" s="19">
        <f t="shared" si="5"/>
        <v>0</v>
      </c>
      <c r="K27" s="2"/>
      <c r="L27" s="2">
        <f t="shared" si="6"/>
        <v>125992.53</v>
      </c>
      <c r="M27" s="2"/>
      <c r="N27" s="19">
        <f t="shared" si="7"/>
        <v>0</v>
      </c>
      <c r="O27" s="11"/>
      <c r="P27" s="2">
        <v>909361.71</v>
      </c>
      <c r="Q27" s="2"/>
      <c r="R27" s="19">
        <f t="shared" si="8"/>
        <v>0.94073542455602832</v>
      </c>
      <c r="S27" s="2"/>
      <c r="T27" s="2"/>
      <c r="U27" s="2"/>
      <c r="V27" s="19">
        <f t="shared" si="9"/>
        <v>0</v>
      </c>
      <c r="W27" s="2"/>
      <c r="X27" s="2">
        <f t="shared" si="10"/>
        <v>909361.71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"5500", " - ", "FREIGHT-IN")</f>
        <v xml:space="preserve">          5500 - FREIGHT-IN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44.19</v>
      </c>
      <c r="Q28" s="2"/>
      <c r="R28" s="19">
        <f t="shared" si="8"/>
        <v>4.5714590744238496E-5</v>
      </c>
      <c r="S28" s="2"/>
      <c r="T28" s="2"/>
      <c r="U28" s="2"/>
      <c r="V28" s="19">
        <f t="shared" si="9"/>
        <v>0</v>
      </c>
      <c r="W28" s="2"/>
      <c r="X28" s="2">
        <f t="shared" si="10"/>
        <v>44.19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"5583", " - ", "FREIGHT-IN-COMPUTER EQUIPMENT")</f>
        <v xml:space="preserve">          5583 - FREIGHT-IN-COMPUTER EQUIPMENT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0">
        <f>D12-D19</f>
        <v>13709.829999999987</v>
      </c>
      <c r="E31" s="13"/>
      <c r="F31" s="22">
        <f>IF(D$12=0,0,D31/D$12)</f>
        <v>0.10266280362189269</v>
      </c>
      <c r="G31" s="13"/>
      <c r="H31" s="20">
        <f>H12-H19</f>
        <v>6654</v>
      </c>
      <c r="I31" s="13"/>
      <c r="J31" s="22">
        <f>IF(H$12=0,0,H31/H$12)</f>
        <v>0.10499739636753823</v>
      </c>
      <c r="K31" s="16"/>
      <c r="L31" s="20">
        <f>+D31-H31</f>
        <v>7055.8299999999872</v>
      </c>
      <c r="M31" s="16"/>
      <c r="N31" s="22">
        <f>IF(H31=0,0,L31/H31)</f>
        <v>1.0603892395551529</v>
      </c>
      <c r="O31" s="25"/>
      <c r="P31" s="20">
        <f>P12-P19</f>
        <v>144157.57000000007</v>
      </c>
      <c r="Q31" s="13"/>
      <c r="R31" s="22">
        <f>IF(P$12=0,0,P31/P$12)</f>
        <v>0.14913112277062496</v>
      </c>
      <c r="S31" s="13"/>
      <c r="T31" s="20">
        <f>T12-T19</f>
        <v>124693</v>
      </c>
      <c r="U31" s="13"/>
      <c r="V31" s="22">
        <f>IF(T$12=0,0,T31/T$12)</f>
        <v>0.10500127153825814</v>
      </c>
      <c r="W31" s="16"/>
      <c r="X31" s="20">
        <f>+P31-T31</f>
        <v>19464.570000000065</v>
      </c>
      <c r="Y31" s="16"/>
      <c r="Z31" s="22">
        <f>IF(T31=0,0,X31/T31)</f>
        <v>0.156099941456217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1">
        <f>SUM(OSRRefD22x_0)</f>
        <v>12627.03</v>
      </c>
      <c r="E33" s="21"/>
      <c r="F33" s="32">
        <f t="shared" ref="F33:F44" si="12">IF(D$12=0,0,D33/D$12)</f>
        <v>9.4554513164477522E-2</v>
      </c>
      <c r="G33" s="21"/>
      <c r="H33" s="21">
        <f>SUM(OSRRefH22x_0)</f>
        <v>13451.32058487</v>
      </c>
      <c r="I33" s="21"/>
      <c r="J33" s="32">
        <f t="shared" ref="J33:J44" si="13">IF(H$12=0,0,H33/H$12)</f>
        <v>0.21225633289997317</v>
      </c>
      <c r="K33" s="4"/>
      <c r="L33" s="21">
        <f t="shared" ref="L33:L44" si="14">+D33-H33</f>
        <v>-824.29058486999929</v>
      </c>
      <c r="M33" s="4"/>
      <c r="N33" s="32">
        <f t="shared" ref="N33:N44" si="15">IF(H33=0,0,L33/H33)</f>
        <v>-6.1279528628375608E-2</v>
      </c>
      <c r="O33" s="10"/>
      <c r="P33" s="21">
        <f>SUM(OSRRefP22x_0)</f>
        <v>84408.550000000032</v>
      </c>
      <c r="Q33" s="21"/>
      <c r="R33" s="32">
        <f t="shared" ref="R33:R44" si="16">IF(P$12=0,0,P33/P$12)</f>
        <v>8.7320713251065718E-2</v>
      </c>
      <c r="S33" s="21"/>
      <c r="T33" s="21">
        <f>SUM(OSRRefT22x_0)</f>
        <v>94355.818981655</v>
      </c>
      <c r="U33" s="21"/>
      <c r="V33" s="32">
        <f t="shared" ref="V33:V44" si="17">IF(T$12=0,0,T33/T$12)</f>
        <v>7.94549892143704E-2</v>
      </c>
      <c r="W33" s="4"/>
      <c r="X33" s="21">
        <f t="shared" ref="X33:X44" si="18">+P33-T33</f>
        <v>-9947.2689816549682</v>
      </c>
      <c r="Y33" s="4"/>
      <c r="Z33" s="32">
        <f t="shared" ref="Z33:Z44" si="19">IF(T33=0,0,X33/T33)</f>
        <v>-0.10542295206604006</v>
      </c>
    </row>
    <row r="34" spans="1:26" s="28" customFormat="1" outlineLevel="1" collapsed="1" x14ac:dyDescent="0.3">
      <c r="A34" s="27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2379.6800000000003</v>
      </c>
      <c r="E34" s="1"/>
      <c r="F34" s="5">
        <f t="shared" si="12"/>
        <v>1.7819668115720316E-2</v>
      </c>
      <c r="G34" s="1"/>
      <c r="H34" s="1">
        <f>SUM(OSRRefH22_0x_0)</f>
        <v>2547.77003487</v>
      </c>
      <c r="I34" s="1"/>
      <c r="J34" s="5">
        <f t="shared" si="13"/>
        <v>4.0202768290439145E-2</v>
      </c>
      <c r="K34" s="1"/>
      <c r="L34" s="1">
        <f t="shared" si="14"/>
        <v>-168.09003486999973</v>
      </c>
      <c r="M34" s="1"/>
      <c r="N34" s="5">
        <f t="shared" si="15"/>
        <v>-6.5975355926727708E-2</v>
      </c>
      <c r="O34" s="14"/>
      <c r="P34" s="1">
        <f>SUM(OSRRefP22_0x_0)</f>
        <v>11303.21</v>
      </c>
      <c r="Q34" s="1"/>
      <c r="R34" s="5">
        <f t="shared" si="16"/>
        <v>1.1693179887897353E-2</v>
      </c>
      <c r="S34" s="1"/>
      <c r="T34" s="1">
        <f>SUM(OSRRefT22_0x_0)</f>
        <v>17125.740406655001</v>
      </c>
      <c r="U34" s="1"/>
      <c r="V34" s="5">
        <f t="shared" si="17"/>
        <v>1.4421214653051103E-2</v>
      </c>
      <c r="W34" s="1"/>
      <c r="X34" s="1">
        <f t="shared" si="18"/>
        <v>-5822.5304066550016</v>
      </c>
      <c r="Y34" s="1"/>
      <c r="Z34" s="5">
        <f t="shared" si="19"/>
        <v>-0.33998707608532869</v>
      </c>
    </row>
    <row r="35" spans="1:26" s="24" customFormat="1" hidden="1" outlineLevel="2" x14ac:dyDescent="0.3">
      <c r="A35" s="29"/>
      <c r="B35" s="11" t="str">
        <f>CONCATENATE("          ", "6111", " - ", "F.I.C.A.")</f>
        <v xml:space="preserve">          6111 - F.I.C.A.</v>
      </c>
      <c r="C35" s="11"/>
      <c r="D35" s="6">
        <v>494.27</v>
      </c>
      <c r="E35" s="2"/>
      <c r="F35" s="7">
        <f t="shared" si="12"/>
        <v>3.7012234248121928E-3</v>
      </c>
      <c r="G35" s="2"/>
      <c r="H35" s="6">
        <v>457.37151956999998</v>
      </c>
      <c r="I35" s="2"/>
      <c r="J35" s="7">
        <f t="shared" si="13"/>
        <v>7.217135366323197E-3</v>
      </c>
      <c r="K35" s="2"/>
      <c r="L35" s="6">
        <f t="shared" si="14"/>
        <v>36.898480430000006</v>
      </c>
      <c r="M35" s="2"/>
      <c r="N35" s="7">
        <f t="shared" si="15"/>
        <v>8.0675072345322882E-2</v>
      </c>
      <c r="O35" s="11"/>
      <c r="P35" s="6">
        <v>3303.91</v>
      </c>
      <c r="Q35" s="2"/>
      <c r="R35" s="7">
        <f t="shared" si="16"/>
        <v>3.4178975674541076E-3</v>
      </c>
      <c r="S35" s="2"/>
      <c r="T35" s="6">
        <v>3751.6841572049998</v>
      </c>
      <c r="U35" s="2"/>
      <c r="V35" s="7">
        <f t="shared" si="17"/>
        <v>3.1592118797082701E-3</v>
      </c>
      <c r="W35" s="2"/>
      <c r="X35" s="6">
        <f t="shared" si="18"/>
        <v>-447.77415720499994</v>
      </c>
      <c r="Y35" s="2"/>
      <c r="Z35" s="7">
        <f t="shared" si="19"/>
        <v>-0.11935283953609548</v>
      </c>
    </row>
    <row r="36" spans="1:26" s="24" customFormat="1" hidden="1" outlineLevel="2" x14ac:dyDescent="0.3">
      <c r="A36" s="29"/>
      <c r="B36" s="11" t="str">
        <f>CONCATENATE("          ", "6112", " - ", "COMPENSATION INSURANCE")</f>
        <v xml:space="preserve">          6112 - COMPENSATION INSURANCE</v>
      </c>
      <c r="C36" s="11"/>
      <c r="D36" s="6">
        <v>142.52000000000001</v>
      </c>
      <c r="E36" s="2"/>
      <c r="F36" s="7">
        <f t="shared" si="12"/>
        <v>1.0672271481259913E-3</v>
      </c>
      <c r="G36" s="2"/>
      <c r="H36" s="6">
        <v>155.41295640000001</v>
      </c>
      <c r="I36" s="2"/>
      <c r="J36" s="7">
        <f t="shared" si="13"/>
        <v>2.4523528379593834E-3</v>
      </c>
      <c r="K36" s="2"/>
      <c r="L36" s="6">
        <f t="shared" si="14"/>
        <v>-12.892956400000003</v>
      </c>
      <c r="M36" s="2"/>
      <c r="N36" s="7">
        <f t="shared" si="15"/>
        <v>-8.2959340705264395E-2</v>
      </c>
      <c r="O36" s="11"/>
      <c r="P36" s="6">
        <v>876.92</v>
      </c>
      <c r="Q36" s="2"/>
      <c r="R36" s="7">
        <f t="shared" si="16"/>
        <v>9.0717444931970185E-4</v>
      </c>
      <c r="S36" s="2"/>
      <c r="T36" s="6">
        <v>1051.7894166000001</v>
      </c>
      <c r="U36" s="2"/>
      <c r="V36" s="7">
        <f t="shared" si="17"/>
        <v>8.8568906140266675E-4</v>
      </c>
      <c r="W36" s="2"/>
      <c r="X36" s="6">
        <f t="shared" si="18"/>
        <v>-174.86941660000014</v>
      </c>
      <c r="Y36" s="2"/>
      <c r="Z36" s="7">
        <f t="shared" si="19"/>
        <v>-0.16625896195578826</v>
      </c>
    </row>
    <row r="37" spans="1:26" s="24" customFormat="1" hidden="1" outlineLevel="2" x14ac:dyDescent="0.3">
      <c r="A37" s="29"/>
      <c r="B37" s="11" t="str">
        <f>CONCATENATE("          ", "6113", " - ", "GROUP INSURANCE")</f>
        <v xml:space="preserve">          6113 - GROUP INSURANCE</v>
      </c>
      <c r="C37" s="11"/>
      <c r="D37" s="6">
        <v>853.84</v>
      </c>
      <c r="E37" s="2"/>
      <c r="F37" s="7">
        <f t="shared" si="12"/>
        <v>6.3937779129658746E-3</v>
      </c>
      <c r="G37" s="2"/>
      <c r="H37" s="6">
        <v>943.5</v>
      </c>
      <c r="I37" s="2"/>
      <c r="J37" s="7">
        <f t="shared" si="13"/>
        <v>1.488804380414372E-2</v>
      </c>
      <c r="K37" s="2"/>
      <c r="L37" s="6">
        <f t="shared" si="14"/>
        <v>-89.659999999999968</v>
      </c>
      <c r="M37" s="2"/>
      <c r="N37" s="7">
        <f t="shared" si="15"/>
        <v>-9.5029146793852645E-2</v>
      </c>
      <c r="O37" s="11"/>
      <c r="P37" s="6">
        <v>3750.41</v>
      </c>
      <c r="Q37" s="2"/>
      <c r="R37" s="7">
        <f t="shared" si="16"/>
        <v>3.8798021786173231E-3</v>
      </c>
      <c r="S37" s="2"/>
      <c r="T37" s="6">
        <v>5967</v>
      </c>
      <c r="U37" s="2"/>
      <c r="V37" s="7">
        <f t="shared" si="17"/>
        <v>5.0246813154610631E-3</v>
      </c>
      <c r="W37" s="2"/>
      <c r="X37" s="6">
        <f t="shared" si="18"/>
        <v>-2216.59</v>
      </c>
      <c r="Y37" s="2"/>
      <c r="Z37" s="7">
        <f t="shared" si="19"/>
        <v>-0.37147477794536621</v>
      </c>
    </row>
    <row r="38" spans="1:26" s="24" customFormat="1" hidden="1" outlineLevel="2" x14ac:dyDescent="0.3">
      <c r="A38" s="29"/>
      <c r="B38" s="11" t="str">
        <f>CONCATENATE("          ", "6114", " - ", "STATE UNEMPLOYMENT INSURANCE")</f>
        <v xml:space="preserve">          6114 - STATE UNEMPLOYMENT INSURANCE</v>
      </c>
      <c r="C38" s="11"/>
      <c r="D38" s="6">
        <v>25.04</v>
      </c>
      <c r="E38" s="2"/>
      <c r="F38" s="7">
        <f t="shared" si="12"/>
        <v>1.8750608889331197E-4</v>
      </c>
      <c r="G38" s="2"/>
      <c r="H38" s="6">
        <v>20.920974900000001</v>
      </c>
      <c r="I38" s="2"/>
      <c r="J38" s="7">
        <f t="shared" si="13"/>
        <v>3.3012442049453237E-4</v>
      </c>
      <c r="K38" s="2"/>
      <c r="L38" s="6">
        <f t="shared" si="14"/>
        <v>4.1190250999999982</v>
      </c>
      <c r="M38" s="2"/>
      <c r="N38" s="7">
        <f t="shared" si="15"/>
        <v>0.19688495013681212</v>
      </c>
      <c r="O38" s="11"/>
      <c r="P38" s="6">
        <v>154.06</v>
      </c>
      <c r="Q38" s="2"/>
      <c r="R38" s="7">
        <f t="shared" si="16"/>
        <v>1.5937519461546465E-4</v>
      </c>
      <c r="S38" s="2"/>
      <c r="T38" s="6">
        <v>141.58703685</v>
      </c>
      <c r="U38" s="2"/>
      <c r="V38" s="7">
        <f t="shared" si="17"/>
        <v>1.1922737365035899E-4</v>
      </c>
      <c r="W38" s="2"/>
      <c r="X38" s="6">
        <f t="shared" si="18"/>
        <v>12.472963149999998</v>
      </c>
      <c r="Y38" s="2"/>
      <c r="Z38" s="7">
        <f t="shared" si="19"/>
        <v>8.8093962748963334E-2</v>
      </c>
    </row>
    <row r="39" spans="1:26" s="24" customFormat="1" hidden="1" outlineLevel="2" x14ac:dyDescent="0.3">
      <c r="A39" s="29"/>
      <c r="B39" s="11" t="str">
        <f>CONCATENATE("          ", "6115", " - ", "P.E.R.S.")</f>
        <v xml:space="preserve">          6115 - P.E.R.S.</v>
      </c>
      <c r="C39" s="11"/>
      <c r="D39" s="6">
        <v>103.22</v>
      </c>
      <c r="E39" s="2"/>
      <c r="F39" s="7">
        <f t="shared" si="12"/>
        <v>7.7293843832139224E-4</v>
      </c>
      <c r="G39" s="2"/>
      <c r="H39" s="6">
        <v>202.166134</v>
      </c>
      <c r="I39" s="2"/>
      <c r="J39" s="7">
        <f t="shared" si="13"/>
        <v>3.1900988433560032E-3</v>
      </c>
      <c r="K39" s="2"/>
      <c r="L39" s="6">
        <f t="shared" si="14"/>
        <v>-98.946134000000001</v>
      </c>
      <c r="M39" s="2"/>
      <c r="N39" s="7">
        <f t="shared" si="15"/>
        <v>-0.48942981716215633</v>
      </c>
      <c r="O39" s="11"/>
      <c r="P39" s="6">
        <v>687.72</v>
      </c>
      <c r="Q39" s="2"/>
      <c r="R39" s="7">
        <f t="shared" si="16"/>
        <v>7.1144689628032819E-4</v>
      </c>
      <c r="S39" s="2"/>
      <c r="T39" s="6">
        <v>1314.0798709999999</v>
      </c>
      <c r="U39" s="2"/>
      <c r="V39" s="7">
        <f t="shared" si="17"/>
        <v>1.1065581657176444E-3</v>
      </c>
      <c r="W39" s="2"/>
      <c r="X39" s="6">
        <f t="shared" si="18"/>
        <v>-626.35987099999988</v>
      </c>
      <c r="Y39" s="2"/>
      <c r="Z39" s="7">
        <f t="shared" si="19"/>
        <v>-0.47665281602962772</v>
      </c>
    </row>
    <row r="40" spans="1:26" s="24" customFormat="1" hidden="1" outlineLevel="2" x14ac:dyDescent="0.3">
      <c r="A40" s="29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"6117", " - ", "RETIREMENT STAFF HOURLY")</f>
        <v xml:space="preserve">          6117 - RETIREMENT STAFF HOURLY</v>
      </c>
      <c r="C41" s="11"/>
      <c r="D41" s="6">
        <v>120</v>
      </c>
      <c r="E41" s="2"/>
      <c r="F41" s="7">
        <f t="shared" si="12"/>
        <v>8.9859148031938649E-4</v>
      </c>
      <c r="G41" s="2"/>
      <c r="H41" s="6"/>
      <c r="I41" s="2"/>
      <c r="J41" s="7">
        <f t="shared" si="13"/>
        <v>0</v>
      </c>
      <c r="K41" s="2"/>
      <c r="L41" s="6">
        <f t="shared" si="14"/>
        <v>120</v>
      </c>
      <c r="M41" s="2"/>
      <c r="N41" s="7">
        <f t="shared" si="15"/>
        <v>0</v>
      </c>
      <c r="O41" s="11"/>
      <c r="P41" s="6">
        <v>-417.34</v>
      </c>
      <c r="Q41" s="2"/>
      <c r="R41" s="7">
        <f t="shared" si="16"/>
        <v>-4.3173856757638593E-4</v>
      </c>
      <c r="S41" s="2"/>
      <c r="T41" s="6"/>
      <c r="U41" s="2"/>
      <c r="V41" s="7">
        <f t="shared" si="17"/>
        <v>0</v>
      </c>
      <c r="W41" s="2"/>
      <c r="X41" s="6">
        <f t="shared" si="18"/>
        <v>-417.34</v>
      </c>
      <c r="Y41" s="2"/>
      <c r="Z41" s="7">
        <f t="shared" si="19"/>
        <v>0</v>
      </c>
    </row>
    <row r="42" spans="1:26" s="24" customFormat="1" hidden="1" outlineLevel="2" x14ac:dyDescent="0.3">
      <c r="A42" s="29"/>
      <c r="B42" s="11" t="str">
        <f>CONCATENATE("          ", "6118", " - ", "VACATION")</f>
        <v xml:space="preserve">          6118 - VACATION</v>
      </c>
      <c r="C42" s="11"/>
      <c r="D42" s="6">
        <v>227.57</v>
      </c>
      <c r="E42" s="2"/>
      <c r="F42" s="7">
        <f t="shared" si="12"/>
        <v>1.7041038598023565E-3</v>
      </c>
      <c r="G42" s="2"/>
      <c r="H42" s="6">
        <v>179.29106999999999</v>
      </c>
      <c r="I42" s="2"/>
      <c r="J42" s="7">
        <f t="shared" si="13"/>
        <v>2.8291396967162672E-3</v>
      </c>
      <c r="K42" s="2"/>
      <c r="L42" s="6">
        <f t="shared" si="14"/>
        <v>48.278930000000003</v>
      </c>
      <c r="M42" s="2"/>
      <c r="N42" s="7">
        <f t="shared" si="15"/>
        <v>0.269276824551273</v>
      </c>
      <c r="O42" s="11"/>
      <c r="P42" s="6">
        <v>1015.47</v>
      </c>
      <c r="Q42" s="2"/>
      <c r="R42" s="7">
        <f t="shared" si="16"/>
        <v>1.0505045363894969E-3</v>
      </c>
      <c r="S42" s="2"/>
      <c r="T42" s="6">
        <v>1165.3919550000001</v>
      </c>
      <c r="U42" s="2"/>
      <c r="V42" s="7">
        <f t="shared" si="17"/>
        <v>9.8135129570590582E-4</v>
      </c>
      <c r="W42" s="2"/>
      <c r="X42" s="6">
        <f t="shared" si="18"/>
        <v>-149.92195500000003</v>
      </c>
      <c r="Y42" s="2"/>
      <c r="Z42" s="7">
        <f t="shared" si="19"/>
        <v>-0.12864509177086264</v>
      </c>
    </row>
    <row r="43" spans="1:26" s="24" customFormat="1" hidden="1" outlineLevel="2" x14ac:dyDescent="0.3">
      <c r="A43" s="29"/>
      <c r="B43" s="11" t="str">
        <f>CONCATENATE("          ", "6119", " - ", "SICK LEAVE")</f>
        <v xml:space="preserve">          6119 - SICK LEAVE</v>
      </c>
      <c r="C43" s="11"/>
      <c r="D43" s="6">
        <v>216.23</v>
      </c>
      <c r="E43" s="2"/>
      <c r="F43" s="7">
        <f t="shared" si="12"/>
        <v>1.6191869649121744E-3</v>
      </c>
      <c r="G43" s="2"/>
      <c r="H43" s="6">
        <v>239.10738000000001</v>
      </c>
      <c r="I43" s="2"/>
      <c r="J43" s="7">
        <f t="shared" si="13"/>
        <v>3.7730165843498022E-3</v>
      </c>
      <c r="K43" s="2"/>
      <c r="L43" s="6">
        <f t="shared" si="14"/>
        <v>-22.877380000000016</v>
      </c>
      <c r="M43" s="2"/>
      <c r="N43" s="7">
        <f t="shared" si="15"/>
        <v>-9.5678268065168104E-2</v>
      </c>
      <c r="O43" s="11"/>
      <c r="P43" s="6">
        <v>1046.9100000000001</v>
      </c>
      <c r="Q43" s="2"/>
      <c r="R43" s="7">
        <f t="shared" si="16"/>
        <v>1.0830292418205641E-3</v>
      </c>
      <c r="S43" s="2"/>
      <c r="T43" s="6">
        <v>1634.2079699999999</v>
      </c>
      <c r="U43" s="2"/>
      <c r="V43" s="7">
        <f t="shared" si="17"/>
        <v>1.376131096436493E-3</v>
      </c>
      <c r="W43" s="2"/>
      <c r="X43" s="6">
        <f t="shared" si="18"/>
        <v>-587.29796999999985</v>
      </c>
      <c r="Y43" s="2"/>
      <c r="Z43" s="7">
        <f t="shared" si="19"/>
        <v>-0.35937774186721161</v>
      </c>
    </row>
    <row r="44" spans="1:26" s="24" customFormat="1" hidden="1" outlineLevel="2" x14ac:dyDescent="0.3">
      <c r="A44" s="29"/>
      <c r="B44" s="11" t="str">
        <f>CONCATENATE("          ", "6156", " - ", "EMPLOYEE MEALS")</f>
        <v xml:space="preserve">          6156 - EMPLOYEE MEALS</v>
      </c>
      <c r="C44" s="11"/>
      <c r="D44" s="6">
        <v>196.99</v>
      </c>
      <c r="E44" s="2"/>
      <c r="F44" s="7">
        <f t="shared" si="12"/>
        <v>1.4751127975676328E-3</v>
      </c>
      <c r="G44" s="2"/>
      <c r="H44" s="6">
        <v>350</v>
      </c>
      <c r="I44" s="2"/>
      <c r="J44" s="7">
        <f t="shared" si="13"/>
        <v>5.5228567370962395E-3</v>
      </c>
      <c r="K44" s="2"/>
      <c r="L44" s="6">
        <f t="shared" si="14"/>
        <v>-153.01</v>
      </c>
      <c r="M44" s="2"/>
      <c r="N44" s="7">
        <f t="shared" si="15"/>
        <v>-0.43717142857142854</v>
      </c>
      <c r="O44" s="11"/>
      <c r="P44" s="6">
        <v>885.15</v>
      </c>
      <c r="Q44" s="2"/>
      <c r="R44" s="7">
        <f t="shared" si="16"/>
        <v>9.1568839097675282E-4</v>
      </c>
      <c r="S44" s="2"/>
      <c r="T44" s="6">
        <v>2100</v>
      </c>
      <c r="U44" s="2"/>
      <c r="V44" s="7">
        <f t="shared" si="17"/>
        <v>1.7683644649687E-3</v>
      </c>
      <c r="W44" s="2"/>
      <c r="X44" s="6">
        <f t="shared" si="18"/>
        <v>-1214.8499999999999</v>
      </c>
      <c r="Y44" s="2"/>
      <c r="Z44" s="7">
        <f t="shared" si="19"/>
        <v>-0.5784999999999999</v>
      </c>
    </row>
    <row r="45" spans="1:26" s="28" customFormat="1" outlineLevel="1" collapsed="1" x14ac:dyDescent="0.3">
      <c r="A45" s="27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9388.6099999999988</v>
      </c>
      <c r="E45" s="1"/>
      <c r="F45" s="5">
        <f t="shared" ref="F45:F55" si="20">IF(D$12=0,0,D45/D$12)</f>
        <v>7.0304374650344947E-2</v>
      </c>
      <c r="G45" s="1"/>
      <c r="H45" s="1">
        <f>SUM(OSRRefH22_1x_0)</f>
        <v>9663.5505499999999</v>
      </c>
      <c r="I45" s="1"/>
      <c r="J45" s="5">
        <f t="shared" ref="J45:J55" si="21">IF(H$12=0,0,H45/H$12)</f>
        <v>0.15248687216953591</v>
      </c>
      <c r="K45" s="1"/>
      <c r="L45" s="1">
        <f t="shared" ref="L45:L55" si="22">+D45-H45</f>
        <v>-274.94055000000117</v>
      </c>
      <c r="M45" s="1"/>
      <c r="N45" s="5">
        <f t="shared" ref="N45:N55" si="23">IF(H45=0,0,L45/H45)</f>
        <v>-2.8451297333980538E-2</v>
      </c>
      <c r="O45" s="14"/>
      <c r="P45" s="1">
        <f>SUM(OSRRefP22_1x_0)</f>
        <v>60972.63</v>
      </c>
      <c r="Q45" s="1"/>
      <c r="R45" s="5">
        <f t="shared" ref="R45:R55" si="24">IF(P$12=0,0,P45/P$12)</f>
        <v>6.3076235054308177E-2</v>
      </c>
      <c r="S45" s="1"/>
      <c r="T45" s="1">
        <f>SUM(OSRRefT22_1x_0)</f>
        <v>65480.078575</v>
      </c>
      <c r="U45" s="1"/>
      <c r="V45" s="5">
        <f t="shared" ref="V45:V55" si="25">IF(T$12=0,0,T45/T$12)</f>
        <v>5.5139354340661098E-2</v>
      </c>
      <c r="W45" s="1"/>
      <c r="X45" s="1">
        <f t="shared" ref="X45:X55" si="26">+P45-T45</f>
        <v>-4507.4485750000022</v>
      </c>
      <c r="Y45" s="1"/>
      <c r="Z45" s="5">
        <f t="shared" ref="Z45:Z55" si="27">IF(T45=0,0,X45/T45)</f>
        <v>-6.883694511510445E-2</v>
      </c>
    </row>
    <row r="46" spans="1:26" s="24" customFormat="1" hidden="1" outlineLevel="2" x14ac:dyDescent="0.3">
      <c r="A46" s="29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"6002", " - ", "STAFF SALARIES")</f>
        <v xml:space="preserve">          6002 - STAFF SALARIES</v>
      </c>
      <c r="C47" s="11"/>
      <c r="D47" s="6">
        <v>1360</v>
      </c>
      <c r="E47" s="2"/>
      <c r="F47" s="7">
        <f t="shared" si="20"/>
        <v>1.0184036776953046E-2</v>
      </c>
      <c r="G47" s="2"/>
      <c r="H47" s="6">
        <v>2233.2305500000002</v>
      </c>
      <c r="I47" s="2"/>
      <c r="J47" s="7">
        <f t="shared" si="21"/>
        <v>3.5239463967304693E-2</v>
      </c>
      <c r="K47" s="2"/>
      <c r="L47" s="6">
        <f t="shared" si="22"/>
        <v>-873.23055000000022</v>
      </c>
      <c r="M47" s="2"/>
      <c r="N47" s="7">
        <f t="shared" si="23"/>
        <v>-0.39101674925591545</v>
      </c>
      <c r="O47" s="11"/>
      <c r="P47" s="6">
        <v>11552.94</v>
      </c>
      <c r="Q47" s="2"/>
      <c r="R47" s="7">
        <f t="shared" si="24"/>
        <v>1.1951525774898003E-2</v>
      </c>
      <c r="S47" s="2"/>
      <c r="T47" s="6">
        <v>14515.998575</v>
      </c>
      <c r="U47" s="2"/>
      <c r="V47" s="7">
        <f t="shared" si="25"/>
        <v>1.2223607644555374E-2</v>
      </c>
      <c r="W47" s="2"/>
      <c r="X47" s="6">
        <f t="shared" si="26"/>
        <v>-2963.0585749999991</v>
      </c>
      <c r="Y47" s="2"/>
      <c r="Z47" s="7">
        <f t="shared" si="27"/>
        <v>-0.20412364741500391</v>
      </c>
    </row>
    <row r="48" spans="1:26" s="24" customFormat="1" hidden="1" outlineLevel="2" x14ac:dyDescent="0.3">
      <c r="A48" s="29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9"/>
      <c r="B49" s="11" t="str">
        <f>CONCATENATE("          ", "6004", " - ", "STAFF HOURLY")</f>
        <v xml:space="preserve">          6004 - STAFF HOURLY</v>
      </c>
      <c r="C49" s="11"/>
      <c r="D49" s="6">
        <v>2991.75</v>
      </c>
      <c r="E49" s="2"/>
      <c r="F49" s="7">
        <f t="shared" si="20"/>
        <v>2.2403008843712702E-2</v>
      </c>
      <c r="G49" s="2"/>
      <c r="H49" s="6">
        <v>3444.32</v>
      </c>
      <c r="I49" s="2"/>
      <c r="J49" s="7">
        <f t="shared" si="21"/>
        <v>5.4349959762043779E-2</v>
      </c>
      <c r="K49" s="2"/>
      <c r="L49" s="6">
        <f t="shared" si="22"/>
        <v>-452.57000000000016</v>
      </c>
      <c r="M49" s="2"/>
      <c r="N49" s="7">
        <f t="shared" si="23"/>
        <v>-0.13139603753425935</v>
      </c>
      <c r="O49" s="11"/>
      <c r="P49" s="6">
        <v>17742.23</v>
      </c>
      <c r="Q49" s="2"/>
      <c r="R49" s="7">
        <f t="shared" si="24"/>
        <v>1.8354351286267268E-2</v>
      </c>
      <c r="S49" s="2"/>
      <c r="T49" s="6">
        <v>22388.080000000002</v>
      </c>
      <c r="U49" s="2"/>
      <c r="V49" s="7">
        <f t="shared" si="25"/>
        <v>1.8852516719464977E-2</v>
      </c>
      <c r="W49" s="2"/>
      <c r="X49" s="6">
        <f t="shared" si="26"/>
        <v>-4645.8500000000022</v>
      </c>
      <c r="Y49" s="2"/>
      <c r="Z49" s="7">
        <f t="shared" si="27"/>
        <v>-0.20751444518690312</v>
      </c>
    </row>
    <row r="50" spans="1:26" s="24" customFormat="1" hidden="1" outlineLevel="2" x14ac:dyDescent="0.3">
      <c r="A50" s="29"/>
      <c r="B50" s="11" t="str">
        <f>CONCATENATE("          ", "6005", " - ", "TEMPORARY WAGES-HOURLY")</f>
        <v xml:space="preserve">          6005 - TEMPORARY WAGES-HOURLY</v>
      </c>
      <c r="C50" s="11"/>
      <c r="D50" s="6">
        <v>1871.67</v>
      </c>
      <c r="E50" s="2"/>
      <c r="F50" s="7">
        <f t="shared" si="20"/>
        <v>1.401555596641155E-2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1871.67</v>
      </c>
      <c r="M50" s="2"/>
      <c r="N50" s="7">
        <f t="shared" si="23"/>
        <v>0</v>
      </c>
      <c r="O50" s="11"/>
      <c r="P50" s="6">
        <v>6879.14</v>
      </c>
      <c r="Q50" s="2"/>
      <c r="R50" s="7">
        <f t="shared" si="24"/>
        <v>7.116475894372502E-3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6879.14</v>
      </c>
      <c r="Y50" s="2"/>
      <c r="Z50" s="7">
        <f t="shared" si="27"/>
        <v>0</v>
      </c>
    </row>
    <row r="51" spans="1:26" s="24" customFormat="1" hidden="1" outlineLevel="2" x14ac:dyDescent="0.3">
      <c r="A51" s="29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9"/>
      <c r="B52" s="11" t="str">
        <f>CONCATENATE("          ", "6007", " - ", "STUDENT HOURLY")</f>
        <v xml:space="preserve">          6007 - STUDENT HOURLY</v>
      </c>
      <c r="C52" s="11"/>
      <c r="D52" s="6">
        <v>2051.54</v>
      </c>
      <c r="E52" s="2"/>
      <c r="F52" s="7">
        <f t="shared" si="20"/>
        <v>1.5362469712786951E-2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2051.54</v>
      </c>
      <c r="M52" s="2"/>
      <c r="N52" s="7">
        <f t="shared" si="23"/>
        <v>0</v>
      </c>
      <c r="O52" s="11"/>
      <c r="P52" s="6">
        <v>18652.689999999999</v>
      </c>
      <c r="Q52" s="2"/>
      <c r="R52" s="7">
        <f t="shared" si="24"/>
        <v>1.9296222892716677E-2</v>
      </c>
      <c r="S52" s="2"/>
      <c r="T52" s="6">
        <v>10176</v>
      </c>
      <c r="U52" s="2"/>
      <c r="V52" s="7">
        <f t="shared" si="25"/>
        <v>8.5689889502483293E-3</v>
      </c>
      <c r="W52" s="2"/>
      <c r="X52" s="6">
        <f t="shared" si="26"/>
        <v>8476.6899999999987</v>
      </c>
      <c r="Y52" s="2"/>
      <c r="Z52" s="7">
        <f t="shared" si="27"/>
        <v>0.83300805817610046</v>
      </c>
    </row>
    <row r="53" spans="1:26" s="24" customFormat="1" hidden="1" outlineLevel="2" x14ac:dyDescent="0.3">
      <c r="A53" s="29"/>
      <c r="B53" s="11" t="str">
        <f>CONCATENATE("          ", "6008", " - ", "STUDENT HOURLY-FICA EXEMPT")</f>
        <v xml:space="preserve">          6008 - STUDENT HOURLY-FICA EXEMPT</v>
      </c>
      <c r="C53" s="11"/>
      <c r="D53" s="6">
        <v>1113.6500000000001</v>
      </c>
      <c r="E53" s="2"/>
      <c r="F53" s="7">
        <f t="shared" si="20"/>
        <v>8.3393033504807063E-3</v>
      </c>
      <c r="G53" s="2"/>
      <c r="H53" s="6">
        <v>3986</v>
      </c>
      <c r="I53" s="2"/>
      <c r="J53" s="7">
        <f t="shared" si="21"/>
        <v>6.2897448440187465E-2</v>
      </c>
      <c r="K53" s="2"/>
      <c r="L53" s="6">
        <f t="shared" si="22"/>
        <v>-2872.35</v>
      </c>
      <c r="M53" s="2"/>
      <c r="N53" s="7">
        <f t="shared" si="23"/>
        <v>-0.72060963371801301</v>
      </c>
      <c r="O53" s="11"/>
      <c r="P53" s="6">
        <v>6145.63</v>
      </c>
      <c r="Q53" s="2"/>
      <c r="R53" s="7">
        <f t="shared" si="24"/>
        <v>6.357659206053733E-3</v>
      </c>
      <c r="S53" s="2"/>
      <c r="T53" s="6">
        <v>18400</v>
      </c>
      <c r="U53" s="2"/>
      <c r="V53" s="7">
        <f t="shared" si="25"/>
        <v>1.5494241026392418E-2</v>
      </c>
      <c r="W53" s="2"/>
      <c r="X53" s="6">
        <f t="shared" si="26"/>
        <v>-12254.369999999999</v>
      </c>
      <c r="Y53" s="2"/>
      <c r="Z53" s="7">
        <f t="shared" si="27"/>
        <v>-0.6659983695652173</v>
      </c>
    </row>
    <row r="54" spans="1:26" s="24" customFormat="1" hidden="1" outlineLevel="2" x14ac:dyDescent="0.3">
      <c r="A54" s="29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9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8" customFormat="1" outlineLevel="1" collapsed="1" x14ac:dyDescent="0.3">
      <c r="A56" s="27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0</v>
      </c>
      <c r="E56" s="1"/>
      <c r="F56" s="5">
        <f t="shared" ref="F56:F70" si="28">IF(D$12=0,0,D56/D$12)</f>
        <v>0</v>
      </c>
      <c r="G56" s="1"/>
      <c r="H56" s="1">
        <f>SUM(OSRRefH22_2x_0)</f>
        <v>200</v>
      </c>
      <c r="I56" s="1"/>
      <c r="J56" s="5">
        <f t="shared" ref="J56:J70" si="29">IF(H$12=0,0,H56/H$12)</f>
        <v>3.1559181354835655E-3</v>
      </c>
      <c r="K56" s="1"/>
      <c r="L56" s="1">
        <f t="shared" ref="L56:L70" si="30">+D56-H56</f>
        <v>-200</v>
      </c>
      <c r="M56" s="1"/>
      <c r="N56" s="5">
        <f t="shared" ref="N56:N70" si="31">IF(H56=0,0,L56/H56)</f>
        <v>-1</v>
      </c>
      <c r="O56" s="14"/>
      <c r="P56" s="1">
        <f>SUM(OSRRefP22_2x_0)</f>
        <v>118.13</v>
      </c>
      <c r="Q56" s="1"/>
      <c r="R56" s="5">
        <f t="shared" ref="R56:R70" si="32">IF(P$12=0,0,P56/P$12)</f>
        <v>1.2220558055254342E-4</v>
      </c>
      <c r="S56" s="1"/>
      <c r="T56" s="1">
        <f>SUM(OSRRefT22_2x_0)</f>
        <v>1200</v>
      </c>
      <c r="U56" s="1"/>
      <c r="V56" s="5">
        <f t="shared" ref="V56:V70" si="33">IF(T$12=0,0,T56/T$12)</f>
        <v>1.0104939799821142E-3</v>
      </c>
      <c r="W56" s="1"/>
      <c r="X56" s="1">
        <f t="shared" ref="X56:X70" si="34">+P56-T56</f>
        <v>-1081.8699999999999</v>
      </c>
      <c r="Y56" s="1"/>
      <c r="Z56" s="5">
        <f t="shared" ref="Z56:Z70" si="35">IF(T56=0,0,X56/T56)</f>
        <v>-0.90155833333333324</v>
      </c>
    </row>
    <row r="57" spans="1:26" s="24" customFormat="1" hidden="1" outlineLevel="2" x14ac:dyDescent="0.3">
      <c r="A57" s="29"/>
      <c r="B57" s="11" t="str">
        <f>CONCATENATE("          ", "6362", " - ", "ADVERTISING EXPENSE")</f>
        <v xml:space="preserve">          6362 - ADVERTISING EXPENSE</v>
      </c>
      <c r="C57" s="11"/>
      <c r="D57" s="6"/>
      <c r="E57" s="2"/>
      <c r="F57" s="7">
        <f t="shared" si="28"/>
        <v>0</v>
      </c>
      <c r="G57" s="2"/>
      <c r="H57" s="6">
        <v>200</v>
      </c>
      <c r="I57" s="2"/>
      <c r="J57" s="7">
        <f t="shared" si="29"/>
        <v>3.1559181354835655E-3</v>
      </c>
      <c r="K57" s="2"/>
      <c r="L57" s="6">
        <f t="shared" si="30"/>
        <v>-200</v>
      </c>
      <c r="M57" s="2"/>
      <c r="N57" s="7">
        <f t="shared" si="31"/>
        <v>-1</v>
      </c>
      <c r="O57" s="11"/>
      <c r="P57" s="6">
        <v>118.13</v>
      </c>
      <c r="Q57" s="2"/>
      <c r="R57" s="7">
        <f t="shared" si="32"/>
        <v>1.2220558055254342E-4</v>
      </c>
      <c r="S57" s="2"/>
      <c r="T57" s="6">
        <v>1200</v>
      </c>
      <c r="U57" s="2"/>
      <c r="V57" s="7">
        <f t="shared" si="33"/>
        <v>1.0104939799821142E-3</v>
      </c>
      <c r="W57" s="2"/>
      <c r="X57" s="6">
        <f t="shared" si="34"/>
        <v>-1081.8699999999999</v>
      </c>
      <c r="Y57" s="2"/>
      <c r="Z57" s="7">
        <f t="shared" si="35"/>
        <v>-0.90155833333333324</v>
      </c>
    </row>
    <row r="58" spans="1:26" s="28" customFormat="1" outlineLevel="1" collapsed="1" x14ac:dyDescent="0.3">
      <c r="A58" s="27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SUM(OSRRefD22_3x_0)</f>
        <v>280.44</v>
      </c>
      <c r="E58" s="1"/>
      <c r="F58" s="5">
        <f t="shared" si="28"/>
        <v>2.1000082895064063E-3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280.44</v>
      </c>
      <c r="M58" s="1"/>
      <c r="N58" s="5">
        <f t="shared" si="31"/>
        <v>0</v>
      </c>
      <c r="O58" s="14"/>
      <c r="P58" s="1">
        <f>SUM(OSRRefP22_3x_0)</f>
        <v>1682.64</v>
      </c>
      <c r="Q58" s="1"/>
      <c r="R58" s="5">
        <f t="shared" si="32"/>
        <v>1.7406924410474196E-3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1682.64</v>
      </c>
      <c r="Y58" s="1"/>
      <c r="Z58" s="5">
        <f t="shared" si="35"/>
        <v>0</v>
      </c>
    </row>
    <row r="59" spans="1:26" s="24" customFormat="1" hidden="1" outlineLevel="2" x14ac:dyDescent="0.3">
      <c r="A59" s="29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280.44</v>
      </c>
      <c r="E59" s="2"/>
      <c r="F59" s="7">
        <f t="shared" si="28"/>
        <v>2.1000082895064063E-3</v>
      </c>
      <c r="G59" s="2"/>
      <c r="H59" s="6"/>
      <c r="I59" s="2"/>
      <c r="J59" s="7">
        <f t="shared" si="29"/>
        <v>0</v>
      </c>
      <c r="K59" s="2"/>
      <c r="L59" s="6">
        <f t="shared" si="30"/>
        <v>280.44</v>
      </c>
      <c r="M59" s="2"/>
      <c r="N59" s="7">
        <f t="shared" si="31"/>
        <v>0</v>
      </c>
      <c r="O59" s="11"/>
      <c r="P59" s="6">
        <v>1682.64</v>
      </c>
      <c r="Q59" s="2"/>
      <c r="R59" s="7">
        <f t="shared" si="32"/>
        <v>1.7406924410474196E-3</v>
      </c>
      <c r="S59" s="2"/>
      <c r="T59" s="6"/>
      <c r="U59" s="2"/>
      <c r="V59" s="7">
        <f t="shared" si="33"/>
        <v>0</v>
      </c>
      <c r="W59" s="2"/>
      <c r="X59" s="6">
        <f t="shared" si="34"/>
        <v>1682.64</v>
      </c>
      <c r="Y59" s="2"/>
      <c r="Z59" s="7">
        <f t="shared" si="35"/>
        <v>0</v>
      </c>
    </row>
    <row r="60" spans="1:26" s="28" customFormat="1" outlineLevel="1" collapsed="1" x14ac:dyDescent="0.3">
      <c r="A60" s="27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20</v>
      </c>
      <c r="I60" s="1"/>
      <c r="J60" s="5">
        <f t="shared" si="29"/>
        <v>3.1559181354835655E-4</v>
      </c>
      <c r="K60" s="1"/>
      <c r="L60" s="1">
        <f t="shared" si="30"/>
        <v>-20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120</v>
      </c>
      <c r="U60" s="1"/>
      <c r="V60" s="5">
        <f t="shared" si="33"/>
        <v>1.0104939799821143E-4</v>
      </c>
      <c r="W60" s="1"/>
      <c r="X60" s="1">
        <f t="shared" si="34"/>
        <v>-120</v>
      </c>
      <c r="Y60" s="1"/>
      <c r="Z60" s="5">
        <f t="shared" si="35"/>
        <v>-1</v>
      </c>
    </row>
    <row r="61" spans="1:26" s="24" customFormat="1" hidden="1" outlineLevel="2" x14ac:dyDescent="0.3">
      <c r="A61" s="29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28"/>
        <v>0</v>
      </c>
      <c r="G61" s="2"/>
      <c r="H61" s="6">
        <v>20</v>
      </c>
      <c r="I61" s="2"/>
      <c r="J61" s="7">
        <f t="shared" si="29"/>
        <v>3.1559181354835655E-4</v>
      </c>
      <c r="K61" s="2"/>
      <c r="L61" s="6">
        <f t="shared" si="30"/>
        <v>-20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120</v>
      </c>
      <c r="U61" s="2"/>
      <c r="V61" s="7">
        <f t="shared" si="33"/>
        <v>1.0104939799821143E-4</v>
      </c>
      <c r="W61" s="2"/>
      <c r="X61" s="6">
        <f t="shared" si="34"/>
        <v>-120</v>
      </c>
      <c r="Y61" s="2"/>
      <c r="Z61" s="7">
        <f t="shared" si="35"/>
        <v>-1</v>
      </c>
    </row>
    <row r="62" spans="1:26" s="28" customFormat="1" outlineLevel="1" collapsed="1" x14ac:dyDescent="0.3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0</v>
      </c>
      <c r="E62" s="1"/>
      <c r="F62" s="5">
        <f t="shared" si="28"/>
        <v>0</v>
      </c>
      <c r="G62" s="1"/>
      <c r="H62" s="1">
        <f>SUM(OSRRefH22_5x_0)</f>
        <v>15</v>
      </c>
      <c r="I62" s="1"/>
      <c r="J62" s="5">
        <f t="shared" si="29"/>
        <v>2.3669386016126741E-4</v>
      </c>
      <c r="K62" s="1"/>
      <c r="L62" s="1">
        <f t="shared" si="30"/>
        <v>-15</v>
      </c>
      <c r="M62" s="1"/>
      <c r="N62" s="5">
        <f t="shared" si="31"/>
        <v>-1</v>
      </c>
      <c r="O62" s="14"/>
      <c r="P62" s="1">
        <f>SUM(OSRRefP22_5x_0)</f>
        <v>122.13</v>
      </c>
      <c r="Q62" s="1"/>
      <c r="R62" s="5">
        <f t="shared" si="32"/>
        <v>1.2634358378804816E-4</v>
      </c>
      <c r="S62" s="1"/>
      <c r="T62" s="1">
        <f>SUM(OSRRefT22_5x_0)</f>
        <v>90</v>
      </c>
      <c r="U62" s="1"/>
      <c r="V62" s="5">
        <f t="shared" si="33"/>
        <v>7.5787048498658565E-5</v>
      </c>
      <c r="W62" s="1"/>
      <c r="X62" s="1">
        <f t="shared" si="34"/>
        <v>32.129999999999995</v>
      </c>
      <c r="Y62" s="1"/>
      <c r="Z62" s="5">
        <f t="shared" si="35"/>
        <v>0.35699999999999993</v>
      </c>
    </row>
    <row r="63" spans="1:26" s="24" customFormat="1" hidden="1" outlineLevel="2" x14ac:dyDescent="0.3">
      <c r="A63" s="29"/>
      <c r="B63" s="11" t="str">
        <f>CONCATENATE("          ", "6305", " - ", "FREIGHT OUT")</f>
        <v xml:space="preserve">          6305 - FREIGHT OUT</v>
      </c>
      <c r="C63" s="11"/>
      <c r="D63" s="6"/>
      <c r="E63" s="2"/>
      <c r="F63" s="7">
        <f t="shared" si="28"/>
        <v>0</v>
      </c>
      <c r="G63" s="2"/>
      <c r="H63" s="6">
        <v>15</v>
      </c>
      <c r="I63" s="2"/>
      <c r="J63" s="7">
        <f t="shared" si="29"/>
        <v>2.3669386016126741E-4</v>
      </c>
      <c r="K63" s="2"/>
      <c r="L63" s="6">
        <f t="shared" si="30"/>
        <v>-15</v>
      </c>
      <c r="M63" s="2"/>
      <c r="N63" s="7">
        <f t="shared" si="31"/>
        <v>-1</v>
      </c>
      <c r="O63" s="11"/>
      <c r="P63" s="6">
        <v>122.13</v>
      </c>
      <c r="Q63" s="2"/>
      <c r="R63" s="7">
        <f t="shared" si="32"/>
        <v>1.2634358378804816E-4</v>
      </c>
      <c r="S63" s="2"/>
      <c r="T63" s="6">
        <v>90</v>
      </c>
      <c r="U63" s="2"/>
      <c r="V63" s="7">
        <f t="shared" si="33"/>
        <v>7.5787048498658565E-5</v>
      </c>
      <c r="W63" s="2"/>
      <c r="X63" s="6">
        <f t="shared" si="34"/>
        <v>32.129999999999995</v>
      </c>
      <c r="Y63" s="2"/>
      <c r="Z63" s="7">
        <f t="shared" si="35"/>
        <v>0.35699999999999993</v>
      </c>
    </row>
    <row r="64" spans="1:26" s="28" customFormat="1" outlineLevel="1" collapsed="1" x14ac:dyDescent="0.3">
      <c r="A64" s="27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30</v>
      </c>
      <c r="I64" s="1"/>
      <c r="J64" s="5">
        <f t="shared" si="29"/>
        <v>4.7338772032253483E-4</v>
      </c>
      <c r="K64" s="1"/>
      <c r="L64" s="1">
        <f t="shared" si="30"/>
        <v>-30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180</v>
      </c>
      <c r="U64" s="1"/>
      <c r="V64" s="5">
        <f t="shared" si="33"/>
        <v>1.5157409699731713E-4</v>
      </c>
      <c r="W64" s="1"/>
      <c r="X64" s="1">
        <f t="shared" si="34"/>
        <v>-180</v>
      </c>
      <c r="Y64" s="1"/>
      <c r="Z64" s="5">
        <f t="shared" si="35"/>
        <v>-1</v>
      </c>
    </row>
    <row r="65" spans="1:26" s="24" customFormat="1" hidden="1" outlineLevel="2" x14ac:dyDescent="0.3">
      <c r="A65" s="29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30</v>
      </c>
      <c r="I65" s="2"/>
      <c r="J65" s="7">
        <f t="shared" si="29"/>
        <v>4.7338772032253483E-4</v>
      </c>
      <c r="K65" s="2"/>
      <c r="L65" s="6">
        <f t="shared" si="30"/>
        <v>-30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180</v>
      </c>
      <c r="U65" s="2"/>
      <c r="V65" s="7">
        <f t="shared" si="33"/>
        <v>1.5157409699731713E-4</v>
      </c>
      <c r="W65" s="2"/>
      <c r="X65" s="6">
        <f t="shared" si="34"/>
        <v>-180</v>
      </c>
      <c r="Y65" s="2"/>
      <c r="Z65" s="7">
        <f t="shared" si="35"/>
        <v>-1</v>
      </c>
    </row>
    <row r="66" spans="1:26" s="28" customFormat="1" outlineLevel="1" collapsed="1" x14ac:dyDescent="0.3">
      <c r="A66" s="27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340</v>
      </c>
      <c r="E66" s="1"/>
      <c r="F66" s="5">
        <f t="shared" si="28"/>
        <v>2.5460091942382614E-3</v>
      </c>
      <c r="G66" s="1"/>
      <c r="H66" s="1">
        <f>SUM(OSRRefH22_7x_0)</f>
        <v>340</v>
      </c>
      <c r="I66" s="1"/>
      <c r="J66" s="5">
        <f t="shared" si="29"/>
        <v>5.3650608303220616E-3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5640</v>
      </c>
      <c r="Q66" s="1"/>
      <c r="R66" s="5">
        <f t="shared" si="32"/>
        <v>5.8345845620616692E-3</v>
      </c>
      <c r="S66" s="1"/>
      <c r="T66" s="1">
        <f>SUM(OSRRefT22_7x_0)</f>
        <v>6350</v>
      </c>
      <c r="U66" s="1"/>
      <c r="V66" s="5">
        <f t="shared" si="33"/>
        <v>5.347197310738688E-3</v>
      </c>
      <c r="W66" s="1"/>
      <c r="X66" s="1">
        <f t="shared" si="34"/>
        <v>-710</v>
      </c>
      <c r="Y66" s="1"/>
      <c r="Z66" s="5">
        <f t="shared" si="35"/>
        <v>-0.11181102362204724</v>
      </c>
    </row>
    <row r="67" spans="1:26" s="24" customFormat="1" hidden="1" outlineLevel="2" x14ac:dyDescent="0.3">
      <c r="A67" s="29"/>
      <c r="B67" s="11" t="str">
        <f>CONCATENATE("          ", "6408", " - ", "INVENTORY ADJUSTMENT")</f>
        <v xml:space="preserve">          6408 - INVENTORY ADJUSTMENT</v>
      </c>
      <c r="C67" s="11"/>
      <c r="D67" s="6">
        <v>340</v>
      </c>
      <c r="E67" s="2"/>
      <c r="F67" s="7">
        <f t="shared" si="28"/>
        <v>2.5460091942382614E-3</v>
      </c>
      <c r="G67" s="2"/>
      <c r="H67" s="6">
        <v>340</v>
      </c>
      <c r="I67" s="2"/>
      <c r="J67" s="7">
        <f t="shared" si="29"/>
        <v>5.3650608303220616E-3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5640</v>
      </c>
      <c r="Q67" s="2"/>
      <c r="R67" s="7">
        <f t="shared" si="32"/>
        <v>5.8345845620616692E-3</v>
      </c>
      <c r="S67" s="2"/>
      <c r="T67" s="6">
        <v>6350</v>
      </c>
      <c r="U67" s="2"/>
      <c r="V67" s="7">
        <f t="shared" si="33"/>
        <v>5.347197310738688E-3</v>
      </c>
      <c r="W67" s="2"/>
      <c r="X67" s="6">
        <f t="shared" si="34"/>
        <v>-710</v>
      </c>
      <c r="Y67" s="2"/>
      <c r="Z67" s="7">
        <f t="shared" si="35"/>
        <v>-0.11181102362204724</v>
      </c>
    </row>
    <row r="68" spans="1:26" s="28" customFormat="1" outlineLevel="1" collapsed="1" x14ac:dyDescent="0.3">
      <c r="A68" s="27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SUM(OSRRefD22_8x_0)</f>
        <v>31.35</v>
      </c>
      <c r="E68" s="1"/>
      <c r="F68" s="5">
        <f t="shared" si="28"/>
        <v>2.3475702423343973E-4</v>
      </c>
      <c r="G68" s="1"/>
      <c r="H68" s="1">
        <f>SUM(OSRRefH22_8x_0)</f>
        <v>310</v>
      </c>
      <c r="I68" s="1"/>
      <c r="J68" s="5">
        <f t="shared" si="29"/>
        <v>4.8916731099995269E-3</v>
      </c>
      <c r="K68" s="1"/>
      <c r="L68" s="1">
        <f t="shared" si="30"/>
        <v>-278.64999999999998</v>
      </c>
      <c r="M68" s="1"/>
      <c r="N68" s="5">
        <f t="shared" si="31"/>
        <v>-0.89887096774193542</v>
      </c>
      <c r="O68" s="14"/>
      <c r="P68" s="1">
        <f>SUM(OSRRefP22_8x_0)</f>
        <v>3307.46</v>
      </c>
      <c r="Q68" s="1"/>
      <c r="R68" s="5">
        <f t="shared" si="32"/>
        <v>3.4215700453256183E-3</v>
      </c>
      <c r="S68" s="1"/>
      <c r="T68" s="1">
        <f>SUM(OSRRefT22_8x_0)</f>
        <v>1860</v>
      </c>
      <c r="U68" s="1"/>
      <c r="V68" s="5">
        <f t="shared" si="33"/>
        <v>1.5662656689722772E-3</v>
      </c>
      <c r="W68" s="1"/>
      <c r="X68" s="1">
        <f t="shared" si="34"/>
        <v>1447.46</v>
      </c>
      <c r="Y68" s="1"/>
      <c r="Z68" s="5">
        <f t="shared" si="35"/>
        <v>0.77820430107526883</v>
      </c>
    </row>
    <row r="69" spans="1:26" s="24" customFormat="1" hidden="1" outlineLevel="2" x14ac:dyDescent="0.3">
      <c r="A69" s="29"/>
      <c r="B69" s="11" t="str">
        <f>CONCATENATE("          ", "6241", " - ", "OFFICE EXPENSE")</f>
        <v xml:space="preserve">          6241 - OFFICE EXPENSE</v>
      </c>
      <c r="C69" s="11"/>
      <c r="D69" s="6">
        <v>31.35</v>
      </c>
      <c r="E69" s="2"/>
      <c r="F69" s="7">
        <f t="shared" si="28"/>
        <v>2.3475702423343973E-4</v>
      </c>
      <c r="G69" s="2"/>
      <c r="H69" s="6">
        <v>110</v>
      </c>
      <c r="I69" s="2"/>
      <c r="J69" s="7">
        <f t="shared" si="29"/>
        <v>1.7357549745159611E-3</v>
      </c>
      <c r="K69" s="2"/>
      <c r="L69" s="6">
        <f t="shared" si="30"/>
        <v>-78.650000000000006</v>
      </c>
      <c r="M69" s="2"/>
      <c r="N69" s="7">
        <f t="shared" si="31"/>
        <v>-0.71500000000000008</v>
      </c>
      <c r="O69" s="11"/>
      <c r="P69" s="6">
        <v>395.46</v>
      </c>
      <c r="Q69" s="2"/>
      <c r="R69" s="7">
        <f t="shared" si="32"/>
        <v>4.0910368987817506E-4</v>
      </c>
      <c r="S69" s="2"/>
      <c r="T69" s="6">
        <v>660</v>
      </c>
      <c r="U69" s="2"/>
      <c r="V69" s="7">
        <f t="shared" si="33"/>
        <v>5.5577168899016282E-4</v>
      </c>
      <c r="W69" s="2"/>
      <c r="X69" s="6">
        <f t="shared" si="34"/>
        <v>-264.54000000000002</v>
      </c>
      <c r="Y69" s="2"/>
      <c r="Z69" s="7">
        <f t="shared" si="35"/>
        <v>-0.40081818181818185</v>
      </c>
    </row>
    <row r="70" spans="1:26" s="24" customFormat="1" hidden="1" outlineLevel="2" x14ac:dyDescent="0.3">
      <c r="A70" s="29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28"/>
        <v>0</v>
      </c>
      <c r="G70" s="2"/>
      <c r="H70" s="6">
        <v>200</v>
      </c>
      <c r="I70" s="2"/>
      <c r="J70" s="7">
        <f t="shared" si="29"/>
        <v>3.1559181354835655E-3</v>
      </c>
      <c r="K70" s="2"/>
      <c r="L70" s="6">
        <f t="shared" si="30"/>
        <v>-200</v>
      </c>
      <c r="M70" s="2"/>
      <c r="N70" s="7">
        <f t="shared" si="31"/>
        <v>-1</v>
      </c>
      <c r="O70" s="11"/>
      <c r="P70" s="6">
        <v>2912</v>
      </c>
      <c r="Q70" s="2"/>
      <c r="R70" s="7">
        <f t="shared" si="32"/>
        <v>3.0124663554474433E-3</v>
      </c>
      <c r="S70" s="2"/>
      <c r="T70" s="6">
        <v>1200</v>
      </c>
      <c r="U70" s="2"/>
      <c r="V70" s="7">
        <f t="shared" si="33"/>
        <v>1.0104939799821142E-3</v>
      </c>
      <c r="W70" s="2"/>
      <c r="X70" s="6">
        <f t="shared" si="34"/>
        <v>1712</v>
      </c>
      <c r="Y70" s="2"/>
      <c r="Z70" s="7">
        <f t="shared" si="35"/>
        <v>1.4266666666666667</v>
      </c>
    </row>
    <row r="71" spans="1:26" s="28" customFormat="1" outlineLevel="1" collapsed="1" x14ac:dyDescent="0.3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SUM(OSRRefD22_9x_0)</f>
        <v>206.95</v>
      </c>
      <c r="E71" s="1"/>
      <c r="F71" s="5">
        <f t="shared" ref="F71:F72" si="36">IF(D$12=0,0,D71/D$12)</f>
        <v>1.5496958904341418E-3</v>
      </c>
      <c r="G71" s="1"/>
      <c r="H71" s="1">
        <f>SUM(OSRRefH22_9x_0)</f>
        <v>325</v>
      </c>
      <c r="I71" s="1"/>
      <c r="J71" s="5">
        <f t="shared" ref="J71:J72" si="37">IF(H$12=0,0,H71/H$12)</f>
        <v>5.1283669701607942E-3</v>
      </c>
      <c r="K71" s="1"/>
      <c r="L71" s="1">
        <f t="shared" ref="L71:L72" si="38">+D71-H71</f>
        <v>-118.05000000000001</v>
      </c>
      <c r="M71" s="1"/>
      <c r="N71" s="5">
        <f t="shared" ref="N71:N72" si="39">IF(H71=0,0,L71/H71)</f>
        <v>-0.36323076923076925</v>
      </c>
      <c r="O71" s="14"/>
      <c r="P71" s="1">
        <f>SUM(OSRRefP22_9x_0)</f>
        <v>1262.3499999999999</v>
      </c>
      <c r="Q71" s="1"/>
      <c r="R71" s="5">
        <f t="shared" ref="R71:R72" si="40">IF(P$12=0,0,P71/P$12)</f>
        <v>1.3059020960848487E-3</v>
      </c>
      <c r="S71" s="1"/>
      <c r="T71" s="1">
        <f>SUM(OSRRefT22_9x_0)</f>
        <v>1950</v>
      </c>
      <c r="U71" s="1"/>
      <c r="V71" s="5">
        <f t="shared" ref="V71:V72" si="41">IF(T$12=0,0,T71/T$12)</f>
        <v>1.6420527174709357E-3</v>
      </c>
      <c r="W71" s="1"/>
      <c r="X71" s="1">
        <f t="shared" ref="X71:X72" si="42">+P71-T71</f>
        <v>-687.65000000000009</v>
      </c>
      <c r="Y71" s="1"/>
      <c r="Z71" s="5">
        <f t="shared" ref="Z71:Z72" si="43">IF(T71=0,0,X71/T71)</f>
        <v>-0.35264102564102567</v>
      </c>
    </row>
    <row r="72" spans="1:26" s="24" customFormat="1" hidden="1" outlineLevel="2" x14ac:dyDescent="0.3">
      <c r="A72" s="29"/>
      <c r="B72" s="11" t="str">
        <f>CONCATENATE("          ", "6309", " - ", "TELEPHONE")</f>
        <v xml:space="preserve">          6309 - TELEPHONE</v>
      </c>
      <c r="C72" s="11"/>
      <c r="D72" s="6">
        <v>206.95</v>
      </c>
      <c r="E72" s="2"/>
      <c r="F72" s="7">
        <f t="shared" si="36"/>
        <v>1.5496958904341418E-3</v>
      </c>
      <c r="G72" s="2"/>
      <c r="H72" s="6">
        <v>325</v>
      </c>
      <c r="I72" s="2"/>
      <c r="J72" s="7">
        <f t="shared" si="37"/>
        <v>5.1283669701607942E-3</v>
      </c>
      <c r="K72" s="2"/>
      <c r="L72" s="6">
        <f t="shared" si="38"/>
        <v>-118.05000000000001</v>
      </c>
      <c r="M72" s="2"/>
      <c r="N72" s="7">
        <f t="shared" si="39"/>
        <v>-0.36323076923076925</v>
      </c>
      <c r="O72" s="11"/>
      <c r="P72" s="6">
        <v>1262.3499999999999</v>
      </c>
      <c r="Q72" s="2"/>
      <c r="R72" s="7">
        <f t="shared" si="40"/>
        <v>1.3059020960848487E-3</v>
      </c>
      <c r="S72" s="2"/>
      <c r="T72" s="6">
        <v>1950</v>
      </c>
      <c r="U72" s="2"/>
      <c r="V72" s="7">
        <f t="shared" si="41"/>
        <v>1.6420527174709357E-3</v>
      </c>
      <c r="W72" s="2"/>
      <c r="X72" s="6">
        <f t="shared" si="42"/>
        <v>-687.65000000000009</v>
      </c>
      <c r="Y72" s="2"/>
      <c r="Z72" s="7">
        <f t="shared" si="43"/>
        <v>-0.35264102564102567</v>
      </c>
    </row>
    <row r="73" spans="1:26" s="55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5" t="s">
        <v>293</v>
      </c>
      <c r="C74" s="10"/>
      <c r="D74" s="4">
        <f>SUM(OSRRefD25x_0)</f>
        <v>879.62</v>
      </c>
      <c r="E74" s="4"/>
      <c r="F74" s="12">
        <f t="shared" ref="F74:F77" si="44">IF(D$12=0,0,D74/D$12)</f>
        <v>6.5868253159878229E-3</v>
      </c>
      <c r="G74" s="4"/>
      <c r="H74" s="4">
        <f>SUM(OSRRefH25x_0)</f>
        <v>605</v>
      </c>
      <c r="I74" s="4"/>
      <c r="J74" s="12">
        <f t="shared" ref="J74:J77" si="45">IF(H$12=0,0,H74/H$12)</f>
        <v>9.5466523598377855E-3</v>
      </c>
      <c r="K74" s="4"/>
      <c r="L74" s="4">
        <f t="shared" ref="L74:L77" si="46">+D74-H74</f>
        <v>274.62</v>
      </c>
      <c r="M74" s="4"/>
      <c r="N74" s="12">
        <f t="shared" ref="N74:N77" si="47">IF(H74=0,0,L74/H74)</f>
        <v>0.45391735537190081</v>
      </c>
      <c r="O74" s="10"/>
      <c r="P74" s="4">
        <f>SUM(OSRRefP25x_0)</f>
        <v>2598.0299999999997</v>
      </c>
      <c r="Q74" s="4"/>
      <c r="R74" s="12">
        <f t="shared" ref="R74:R77" si="48">IF(P$12=0,0,P74/P$12)</f>
        <v>2.6876641364845877E-3</v>
      </c>
      <c r="S74" s="4"/>
      <c r="T74" s="4">
        <f>SUM(OSRRefT25x_0)</f>
        <v>11334</v>
      </c>
      <c r="U74" s="4"/>
      <c r="V74" s="12">
        <f t="shared" ref="V74:V77" si="49">IF(T$12=0,0,T74/T$12)</f>
        <v>9.5441156409310692E-3</v>
      </c>
      <c r="W74" s="4"/>
      <c r="X74" s="4">
        <f t="shared" ref="X74:X77" si="50">+P74-T74</f>
        <v>-8735.9700000000012</v>
      </c>
      <c r="Y74" s="4"/>
      <c r="Z74" s="12">
        <f t="shared" ref="Z74:Z77" si="51">IF(T74=0,0,X74/T74)</f>
        <v>-0.77077554261514036</v>
      </c>
    </row>
    <row r="75" spans="1:26" s="24" customFormat="1" hidden="1" outlineLevel="1" x14ac:dyDescent="0.3">
      <c r="A75" s="44"/>
      <c r="B75" s="11" t="str">
        <f>CONCATENATE("          ", "4187", " - ", "NON-TAXABLE SALES-COMPUTER REP")</f>
        <v xml:space="preserve">          4187 - NON-TAXABLE SALES-COMPUTER REP</v>
      </c>
      <c r="C75" s="11"/>
      <c r="D75" s="2">
        <f>0</f>
        <v>0</v>
      </c>
      <c r="E75" s="2"/>
      <c r="F75" s="19">
        <f t="shared" si="44"/>
        <v>0</v>
      </c>
      <c r="G75" s="2"/>
      <c r="H75" s="2"/>
      <c r="I75" s="2"/>
      <c r="J75" s="19">
        <f t="shared" si="45"/>
        <v>0</v>
      </c>
      <c r="K75" s="2"/>
      <c r="L75" s="2">
        <f t="shared" si="46"/>
        <v>0</v>
      </c>
      <c r="M75" s="2"/>
      <c r="N75" s="19">
        <f t="shared" si="47"/>
        <v>0</v>
      </c>
      <c r="O75" s="11"/>
      <c r="P75" s="2">
        <f>0</f>
        <v>0</v>
      </c>
      <c r="Q75" s="2"/>
      <c r="R75" s="19">
        <f t="shared" si="48"/>
        <v>0</v>
      </c>
      <c r="S75" s="2"/>
      <c r="T75" s="2"/>
      <c r="U75" s="2"/>
      <c r="V75" s="19">
        <f t="shared" si="49"/>
        <v>0</v>
      </c>
      <c r="W75" s="2"/>
      <c r="X75" s="2">
        <f t="shared" si="50"/>
        <v>0</v>
      </c>
      <c r="Y75" s="2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"9087", " - ", "")</f>
        <v xml:space="preserve">          9087 - </v>
      </c>
      <c r="C76" s="11"/>
      <c r="D76" s="2">
        <f>--730.08</f>
        <v>730.08</v>
      </c>
      <c r="E76" s="2"/>
      <c r="F76" s="19">
        <f t="shared" si="44"/>
        <v>5.4670305662631478E-3</v>
      </c>
      <c r="G76" s="2"/>
      <c r="H76" s="2"/>
      <c r="I76" s="2"/>
      <c r="J76" s="19">
        <f t="shared" si="45"/>
        <v>0</v>
      </c>
      <c r="K76" s="2"/>
      <c r="L76" s="2">
        <f t="shared" si="46"/>
        <v>730.08</v>
      </c>
      <c r="M76" s="2"/>
      <c r="N76" s="19">
        <f t="shared" si="47"/>
        <v>0</v>
      </c>
      <c r="O76" s="11"/>
      <c r="P76" s="2">
        <f>--337.7</f>
        <v>337.7</v>
      </c>
      <c r="Q76" s="2"/>
      <c r="R76" s="19">
        <f t="shared" si="48"/>
        <v>3.4935092315748677E-4</v>
      </c>
      <c r="S76" s="2"/>
      <c r="T76" s="2"/>
      <c r="U76" s="2"/>
      <c r="V76" s="19">
        <f t="shared" si="49"/>
        <v>0</v>
      </c>
      <c r="W76" s="2"/>
      <c r="X76" s="2">
        <f t="shared" si="50"/>
        <v>337.7</v>
      </c>
      <c r="Y76" s="2"/>
      <c r="Z76" s="19">
        <f t="shared" si="51"/>
        <v>0</v>
      </c>
    </row>
    <row r="77" spans="1:26" s="24" customFormat="1" hidden="1" outlineLevel="1" x14ac:dyDescent="0.3">
      <c r="A77" s="44"/>
      <c r="B77" s="11" t="str">
        <f>CONCATENATE("          ", "9150", " - ", "MISC. INCOME")</f>
        <v xml:space="preserve">          9150 - MISC. INCOME</v>
      </c>
      <c r="C77" s="11"/>
      <c r="D77" s="2">
        <f>--149.54</f>
        <v>149.54</v>
      </c>
      <c r="E77" s="2"/>
      <c r="F77" s="19">
        <f t="shared" si="44"/>
        <v>1.1197947497246753E-3</v>
      </c>
      <c r="G77" s="2"/>
      <c r="H77" s="2">
        <v>605</v>
      </c>
      <c r="I77" s="2"/>
      <c r="J77" s="19">
        <f t="shared" si="45"/>
        <v>9.5466523598377855E-3</v>
      </c>
      <c r="K77" s="2"/>
      <c r="L77" s="2">
        <f t="shared" si="46"/>
        <v>-455.46000000000004</v>
      </c>
      <c r="M77" s="2"/>
      <c r="N77" s="19">
        <f t="shared" si="47"/>
        <v>-0.75282644628099182</v>
      </c>
      <c r="O77" s="11"/>
      <c r="P77" s="2">
        <f>--2260.33</f>
        <v>2260.33</v>
      </c>
      <c r="Q77" s="2"/>
      <c r="R77" s="19">
        <f t="shared" si="48"/>
        <v>2.3383132133271015E-3</v>
      </c>
      <c r="S77" s="2"/>
      <c r="T77" s="2">
        <v>11334</v>
      </c>
      <c r="U77" s="2"/>
      <c r="V77" s="19">
        <f t="shared" si="49"/>
        <v>9.5441156409310692E-3</v>
      </c>
      <c r="W77" s="2"/>
      <c r="X77" s="2">
        <f t="shared" si="50"/>
        <v>-9073.67</v>
      </c>
      <c r="Y77" s="2"/>
      <c r="Z77" s="19">
        <f t="shared" si="51"/>
        <v>-0.80057084877360152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10"/>
      <c r="B79" s="26" t="s">
        <v>277</v>
      </c>
      <c r="C79" s="26"/>
      <c r="D79" s="20">
        <f>+D31-D33+D74</f>
        <v>1962.4199999999864</v>
      </c>
      <c r="E79" s="13"/>
      <c r="F79" s="22">
        <f>IF(D$12=0,0,D79/D$12)</f>
        <v>1.4695115773402984E-2</v>
      </c>
      <c r="G79" s="13"/>
      <c r="H79" s="20">
        <f>+H31-H33+H74</f>
        <v>-6192.3205848699999</v>
      </c>
      <c r="I79" s="13"/>
      <c r="J79" s="22">
        <f>IF(H$12=0,0,H79/H$12)</f>
        <v>-9.7712284172597155E-2</v>
      </c>
      <c r="K79" s="16"/>
      <c r="L79" s="20">
        <f>+D79-H79</f>
        <v>8154.7405848699864</v>
      </c>
      <c r="M79" s="16"/>
      <c r="N79" s="22">
        <f>IF(H79=0,0,L79/H79)</f>
        <v>-1.3169118867642065</v>
      </c>
      <c r="O79" s="25"/>
      <c r="P79" s="20">
        <f>+P31-P33+P74</f>
        <v>62347.050000000032</v>
      </c>
      <c r="Q79" s="13"/>
      <c r="R79" s="22">
        <f>IF(P$12=0,0,P79/P$12)</f>
        <v>6.4498073656043819E-2</v>
      </c>
      <c r="S79" s="13"/>
      <c r="T79" s="20">
        <f>+T31-T33+T74</f>
        <v>41671.181018345</v>
      </c>
      <c r="U79" s="13"/>
      <c r="V79" s="22">
        <f>IF(T$12=0,0,T79/T$12)</f>
        <v>3.5090397964818811E-2</v>
      </c>
      <c r="W79" s="16"/>
      <c r="X79" s="20">
        <f>+P79-T79</f>
        <v>20675.868981655032</v>
      </c>
      <c r="Y79" s="16"/>
      <c r="Z79" s="22">
        <f>IF(T79=0,0,X79/T79)</f>
        <v>0.49616709861313618</v>
      </c>
    </row>
    <row r="80" spans="1:26" x14ac:dyDescent="0.3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52"/>
      <c r="B81" s="10" t="s">
        <v>128</v>
      </c>
      <c r="C81" s="10"/>
      <c r="D81" s="4">
        <v>17123.53</v>
      </c>
      <c r="E81" s="4"/>
      <c r="F81" s="12">
        <f>IF(D$12=0,0,D81/D$12)</f>
        <v>0.12822548475827852</v>
      </c>
      <c r="G81" s="4"/>
      <c r="H81" s="4">
        <v>13217</v>
      </c>
      <c r="I81" s="4"/>
      <c r="J81" s="12">
        <f>IF(H$12=0,0,H81/H$12)</f>
        <v>0.20855884998343144</v>
      </c>
      <c r="K81" s="4"/>
      <c r="L81" s="4">
        <f>+D81-H81</f>
        <v>3906.5299999999988</v>
      </c>
      <c r="M81" s="4"/>
      <c r="N81" s="12">
        <f>IF(H81=0,0,L81/H81)</f>
        <v>0.29556858591208285</v>
      </c>
      <c r="O81" s="10"/>
      <c r="P81" s="4">
        <v>116356.41</v>
      </c>
      <c r="Q81" s="4"/>
      <c r="R81" s="12">
        <f>IF(P$12=0,0,P81/P$12)</f>
        <v>0.12037080026292872</v>
      </c>
      <c r="S81" s="4"/>
      <c r="T81" s="4">
        <v>153753</v>
      </c>
      <c r="U81" s="4"/>
      <c r="V81" s="12">
        <f>IF(T$12=0,0,T81/T$12)</f>
        <v>0.12947206742015835</v>
      </c>
      <c r="W81" s="4"/>
      <c r="X81" s="4">
        <f>+P81-T81</f>
        <v>-37396.589999999997</v>
      </c>
      <c r="Y81" s="4"/>
      <c r="Z81" s="12">
        <f>IF(T81=0,0,X81/T81)</f>
        <v>-0.24322510780277456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126</v>
      </c>
      <c r="C83" s="26"/>
      <c r="D83" s="31">
        <f>+D79-D81</f>
        <v>-15161.110000000011</v>
      </c>
      <c r="E83" s="13"/>
      <c r="F83" s="30">
        <f>IF(D$12=0,0,D83/D$12)</f>
        <v>-0.11353036898487553</v>
      </c>
      <c r="G83" s="13"/>
      <c r="H83" s="31">
        <f>+H79-H81</f>
        <v>-19409.320584870002</v>
      </c>
      <c r="I83" s="13"/>
      <c r="J83" s="30">
        <f>IF(H$12=0,0,H83/H$12)</f>
        <v>-0.30627113415602863</v>
      </c>
      <c r="K83" s="16"/>
      <c r="L83" s="31">
        <f>D83-H83</f>
        <v>4248.2105848699903</v>
      </c>
      <c r="M83" s="16"/>
      <c r="N83" s="30">
        <f>IF(H83=0,0,L83/H83)</f>
        <v>-0.21887477030914546</v>
      </c>
      <c r="O83" s="25"/>
      <c r="P83" s="31">
        <f>+P79-P81</f>
        <v>-54009.359999999971</v>
      </c>
      <c r="Q83" s="13"/>
      <c r="R83" s="30">
        <f>IF(P$12=0,0,P83/P$12)</f>
        <v>-5.5872726606884901E-2</v>
      </c>
      <c r="S83" s="13"/>
      <c r="T83" s="31">
        <f>+T79-T81</f>
        <v>-112081.818981655</v>
      </c>
      <c r="U83" s="13"/>
      <c r="V83" s="30">
        <f>IF(T$12=0,0,T83/T$12)</f>
        <v>-9.4381669455339531E-2</v>
      </c>
      <c r="W83" s="16"/>
      <c r="X83" s="31">
        <f>P83-T83</f>
        <v>58072.458981655029</v>
      </c>
      <c r="Y83" s="16"/>
      <c r="Z83" s="30">
        <f>IF(T83=0,0,X83/T83)</f>
        <v>-0.51812559351093368</v>
      </c>
    </row>
    <row r="84" spans="1:26" ht="15" thickTop="1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6" t="s">
        <v>294</v>
      </c>
      <c r="C86" s="26"/>
      <c r="D86" s="35">
        <f>SUM(D83:D85)</f>
        <v>-15161.110000000011</v>
      </c>
      <c r="E86" s="13"/>
      <c r="F86" s="34">
        <f>IF(D$12=0,0,D86/D$12)</f>
        <v>-0.11353036898487553</v>
      </c>
      <c r="G86" s="13"/>
      <c r="H86" s="35">
        <f>SUM(H83:H85)</f>
        <v>-19409.320584870002</v>
      </c>
      <c r="I86" s="13"/>
      <c r="J86" s="34">
        <f>IF(H$12=0,0,H86/H$12)</f>
        <v>-0.30627113415602863</v>
      </c>
      <c r="K86" s="16"/>
      <c r="L86" s="35">
        <f>+D86-H86</f>
        <v>4248.2105848699903</v>
      </c>
      <c r="M86" s="16"/>
      <c r="N86" s="34">
        <f>IF(H86=0,0,L86/H86)</f>
        <v>-0.21887477030914546</v>
      </c>
      <c r="O86" s="25"/>
      <c r="P86" s="35">
        <f>SUM(P83:P85)</f>
        <v>-54009.359999999971</v>
      </c>
      <c r="Q86" s="13"/>
      <c r="R86" s="34">
        <f>IF(P$12=0,0,P86/P$12)</f>
        <v>-5.5872726606884901E-2</v>
      </c>
      <c r="S86" s="13"/>
      <c r="T86" s="35">
        <f>SUM(T83:T85)</f>
        <v>-112081.818981655</v>
      </c>
      <c r="U86" s="13"/>
      <c r="V86" s="34">
        <f>IF(T$12=0,0,T86/T$12)</f>
        <v>-9.4381669455339531E-2</v>
      </c>
      <c r="W86" s="16"/>
      <c r="X86" s="35">
        <f>+P86-T86</f>
        <v>58072.458981655029</v>
      </c>
      <c r="Y86" s="16"/>
      <c r="Z86" s="34">
        <f>IF(T86=0,0,X86/T86)</f>
        <v>-0.51812559351093368</v>
      </c>
    </row>
    <row r="87" spans="1:26" ht="15" thickTop="1" x14ac:dyDescent="0.3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">
      <c r="A88" s="9"/>
      <c r="B88" s="61">
        <v>44575.842118981484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">
      <c r="A89" s="9"/>
      <c r="B89" s="62" t="s">
        <v>56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">
      <c r="A90" s="9"/>
      <c r="B90" s="53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3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","317", " - ", "Computer Store")</f>
        <v>Department 317 - Computer 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133542.32999999999</v>
      </c>
      <c r="E12" s="4"/>
      <c r="F12" s="12"/>
      <c r="G12" s="4"/>
      <c r="H12" s="4">
        <f>SUM(OSRRefH13x_0)</f>
        <v>63373</v>
      </c>
      <c r="I12" s="4"/>
      <c r="J12" s="12"/>
      <c r="K12" s="4"/>
      <c r="L12" s="4">
        <f t="shared" ref="L12:L17" si="0">+D12-H12</f>
        <v>70169.329999999987</v>
      </c>
      <c r="M12" s="4"/>
      <c r="N12" s="12">
        <f t="shared" ref="N12:N17" si="1">IF(H12=0,0,L12/H12)</f>
        <v>1.1072433055086548</v>
      </c>
      <c r="O12" s="10"/>
      <c r="P12" s="4">
        <f>SUM(OSRRefP13x_0)</f>
        <v>966649.8</v>
      </c>
      <c r="Q12" s="4"/>
      <c r="R12" s="12"/>
      <c r="S12" s="4"/>
      <c r="T12" s="4">
        <f>SUM(OSRRefT13x_0)</f>
        <v>1187538</v>
      </c>
      <c r="U12" s="4"/>
      <c r="V12" s="12"/>
      <c r="W12" s="4"/>
      <c r="X12" s="4">
        <f t="shared" ref="X12:X17" si="2">+P12-T12</f>
        <v>-220888.19999999995</v>
      </c>
      <c r="Y12" s="4"/>
      <c r="Z12" s="12">
        <f t="shared" ref="Z12:Z17" si="3">IF(T12=0,0,X12/T12)</f>
        <v>-0.18600516362423766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--134314.8</f>
        <v>134314.79999999999</v>
      </c>
      <c r="E13" s="2"/>
      <c r="F13" s="19"/>
      <c r="G13" s="2"/>
      <c r="H13" s="2">
        <v>56442</v>
      </c>
      <c r="I13" s="2"/>
      <c r="J13" s="19"/>
      <c r="K13" s="2"/>
      <c r="L13" s="2">
        <f t="shared" si="0"/>
        <v>77872.799999999988</v>
      </c>
      <c r="M13" s="2"/>
      <c r="N13" s="19">
        <f t="shared" si="1"/>
        <v>1.3796959710853618</v>
      </c>
      <c r="O13" s="11"/>
      <c r="P13" s="2">
        <f>--818426.75</f>
        <v>818426.75</v>
      </c>
      <c r="Q13" s="2"/>
      <c r="R13" s="19"/>
      <c r="S13" s="2"/>
      <c r="T13" s="2">
        <v>1121201</v>
      </c>
      <c r="U13" s="2"/>
      <c r="V13" s="19"/>
      <c r="W13" s="2"/>
      <c r="X13" s="2">
        <f t="shared" si="2"/>
        <v>-302774.25</v>
      </c>
      <c r="Y13" s="2"/>
      <c r="Z13" s="19">
        <f t="shared" si="3"/>
        <v>-0.27004457719891439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--38625.69</f>
        <v>38625.69</v>
      </c>
      <c r="E14" s="2"/>
      <c r="F14" s="19"/>
      <c r="G14" s="2"/>
      <c r="H14" s="2">
        <v>6931</v>
      </c>
      <c r="I14" s="2"/>
      <c r="J14" s="19"/>
      <c r="K14" s="2"/>
      <c r="L14" s="2">
        <f t="shared" si="0"/>
        <v>31694.690000000002</v>
      </c>
      <c r="M14" s="2"/>
      <c r="N14" s="19">
        <f t="shared" si="1"/>
        <v>4.5728884720819512</v>
      </c>
      <c r="O14" s="11"/>
      <c r="P14" s="2">
        <f>--340387.58</f>
        <v>340387.58</v>
      </c>
      <c r="Q14" s="2"/>
      <c r="R14" s="19"/>
      <c r="S14" s="2"/>
      <c r="T14" s="2">
        <v>66337</v>
      </c>
      <c r="U14" s="2"/>
      <c r="V14" s="19"/>
      <c r="W14" s="2"/>
      <c r="X14" s="2">
        <f t="shared" si="2"/>
        <v>274050.58</v>
      </c>
      <c r="Y14" s="2"/>
      <c r="Z14" s="19">
        <f t="shared" si="3"/>
        <v>4.1311874218008056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-39012.77</f>
        <v>-39012.769999999997</v>
      </c>
      <c r="E15" s="2"/>
      <c r="F15" s="19"/>
      <c r="G15" s="2"/>
      <c r="H15" s="2"/>
      <c r="I15" s="2"/>
      <c r="J15" s="19"/>
      <c r="K15" s="2"/>
      <c r="L15" s="2">
        <f t="shared" si="0"/>
        <v>-39012.769999999997</v>
      </c>
      <c r="M15" s="2"/>
      <c r="N15" s="19">
        <f t="shared" si="1"/>
        <v>0</v>
      </c>
      <c r="O15" s="11"/>
      <c r="P15" s="2">
        <f>-190982.41</f>
        <v>-190982.41</v>
      </c>
      <c r="Q15" s="2"/>
      <c r="R15" s="19"/>
      <c r="S15" s="2"/>
      <c r="T15" s="2"/>
      <c r="U15" s="2"/>
      <c r="V15" s="19"/>
      <c r="W15" s="2"/>
      <c r="X15" s="2">
        <f t="shared" si="2"/>
        <v>-190982.41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-704.79</f>
        <v>-704.79</v>
      </c>
      <c r="Q16" s="2"/>
      <c r="R16" s="19"/>
      <c r="S16" s="2"/>
      <c r="T16" s="2"/>
      <c r="U16" s="2"/>
      <c r="V16" s="19"/>
      <c r="W16" s="2"/>
      <c r="X16" s="2">
        <f t="shared" si="2"/>
        <v>-704.79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-385.39</f>
        <v>-385.39</v>
      </c>
      <c r="E17" s="2"/>
      <c r="F17" s="19"/>
      <c r="G17" s="2"/>
      <c r="H17" s="2"/>
      <c r="I17" s="2"/>
      <c r="J17" s="19"/>
      <c r="K17" s="2"/>
      <c r="L17" s="2">
        <f t="shared" si="0"/>
        <v>-385.39</v>
      </c>
      <c r="M17" s="2"/>
      <c r="N17" s="19">
        <f t="shared" si="1"/>
        <v>0</v>
      </c>
      <c r="O17" s="11"/>
      <c r="P17" s="2">
        <f>-477.33</f>
        <v>-477.33</v>
      </c>
      <c r="Q17" s="2"/>
      <c r="R17" s="19"/>
      <c r="S17" s="2"/>
      <c r="T17" s="2"/>
      <c r="U17" s="2"/>
      <c r="V17" s="19"/>
      <c r="W17" s="2"/>
      <c r="X17" s="2">
        <f t="shared" si="2"/>
        <v>-477.33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119832.5</v>
      </c>
      <c r="E19" s="4"/>
      <c r="F19" s="12">
        <f t="shared" ref="F19:F29" si="4">IF(D$12=0,0,D19/D$12)</f>
        <v>0.89733719637810727</v>
      </c>
      <c r="G19" s="4"/>
      <c r="H19" s="4">
        <f>SUM(OSRRefH16x_0)</f>
        <v>56719</v>
      </c>
      <c r="I19" s="4"/>
      <c r="J19" s="12">
        <f t="shared" ref="J19:J29" si="5">IF(H$12=0,0,H19/H$12)</f>
        <v>0.89500260363246176</v>
      </c>
      <c r="K19" s="4"/>
      <c r="L19" s="4">
        <f t="shared" ref="L19:L29" si="6">+D19-H19</f>
        <v>63113.5</v>
      </c>
      <c r="M19" s="4"/>
      <c r="N19" s="12">
        <f t="shared" ref="N19:N29" si="7">IF(H19=0,0,L19/H19)</f>
        <v>1.1127399989421534</v>
      </c>
      <c r="O19" s="10"/>
      <c r="P19" s="4">
        <f>SUM(OSRRefP16x_0)</f>
        <v>822492.23</v>
      </c>
      <c r="Q19" s="4"/>
      <c r="R19" s="12">
        <f t="shared" ref="R19:R29" si="8">IF(P$12=0,0,P19/P$12)</f>
        <v>0.8508688772293751</v>
      </c>
      <c r="S19" s="4"/>
      <c r="T19" s="4">
        <f>SUM(OSRRefT16x_0)</f>
        <v>1062845</v>
      </c>
      <c r="U19" s="4"/>
      <c r="V19" s="12">
        <f t="shared" ref="V19:V29" si="9">IF(T$12=0,0,T19/T$12)</f>
        <v>0.89499872846174189</v>
      </c>
      <c r="W19" s="4"/>
      <c r="X19" s="4">
        <f t="shared" ref="X19:X29" si="10">+P19-T19</f>
        <v>-240352.77000000002</v>
      </c>
      <c r="Y19" s="4"/>
      <c r="Z19" s="12">
        <f t="shared" ref="Z19:Z29" si="11">IF(T19=0,0,X19/T19)</f>
        <v>-0.22614094247044492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183675.67</v>
      </c>
      <c r="E20" s="2"/>
      <c r="F20" s="19">
        <f t="shared" si="4"/>
        <v>1.3754116016996261</v>
      </c>
      <c r="G20" s="2"/>
      <c r="H20" s="2">
        <v>56719</v>
      </c>
      <c r="I20" s="2"/>
      <c r="J20" s="19">
        <f t="shared" si="5"/>
        <v>0.89500260363246176</v>
      </c>
      <c r="K20" s="2"/>
      <c r="L20" s="2">
        <f t="shared" si="6"/>
        <v>126956.67000000001</v>
      </c>
      <c r="M20" s="2"/>
      <c r="N20" s="19">
        <f t="shared" si="7"/>
        <v>2.2383446464147818</v>
      </c>
      <c r="O20" s="11"/>
      <c r="P20" s="2">
        <v>927238.18</v>
      </c>
      <c r="Q20" s="2"/>
      <c r="R20" s="19">
        <f t="shared" si="8"/>
        <v>0.95922864723087931</v>
      </c>
      <c r="S20" s="2"/>
      <c r="T20" s="2">
        <v>1062845</v>
      </c>
      <c r="U20" s="2"/>
      <c r="V20" s="19">
        <f t="shared" si="9"/>
        <v>0.89499872846174189</v>
      </c>
      <c r="W20" s="2"/>
      <c r="X20" s="2">
        <f t="shared" si="10"/>
        <v>-135606.81999999995</v>
      </c>
      <c r="Y20" s="2"/>
      <c r="Z20" s="19">
        <f t="shared" si="11"/>
        <v>-0.12758851949249414</v>
      </c>
    </row>
    <row r="21" spans="1:26" s="24" customFormat="1" hidden="1" outlineLevel="1" x14ac:dyDescent="0.3">
      <c r="A21" s="44"/>
      <c r="B21" s="11" t="str">
        <f>CONCATENATE("          ", "5081", " - ", "PURCHASES @ COST-ELECTRONICS")</f>
        <v xml:space="preserve">          5081 - PURCHASES @ COST-ELECTRONICS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"5082", " - ", "PURCHASES @ COST-COMPUTER HARD")</f>
        <v xml:space="preserve">          5082 - PURCHASES @ COST-COMPUTER HARD</v>
      </c>
      <c r="C22" s="11"/>
      <c r="D22" s="2">
        <v>-6160.03</v>
      </c>
      <c r="E22" s="2"/>
      <c r="F22" s="19">
        <f t="shared" si="4"/>
        <v>-4.6127920637598581E-2</v>
      </c>
      <c r="G22" s="2"/>
      <c r="H22" s="2"/>
      <c r="I22" s="2"/>
      <c r="J22" s="19">
        <f t="shared" si="5"/>
        <v>0</v>
      </c>
      <c r="K22" s="2"/>
      <c r="L22" s="2">
        <f t="shared" si="6"/>
        <v>-6160.03</v>
      </c>
      <c r="M22" s="2"/>
      <c r="N22" s="19">
        <f t="shared" si="7"/>
        <v>0</v>
      </c>
      <c r="O22" s="11"/>
      <c r="P22" s="2">
        <v>-86869.48</v>
      </c>
      <c r="Q22" s="2"/>
      <c r="R22" s="19">
        <f t="shared" si="8"/>
        <v>-8.9866547326653348E-2</v>
      </c>
      <c r="S22" s="2"/>
      <c r="T22" s="2"/>
      <c r="U22" s="2"/>
      <c r="V22" s="19">
        <f t="shared" si="9"/>
        <v>0</v>
      </c>
      <c r="W22" s="2"/>
      <c r="X22" s="2">
        <f t="shared" si="10"/>
        <v>-86869.48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"5083", " - ", "PURCHASES @ COST-COMPUTER EQUI")</f>
        <v xml:space="preserve">          5083 - PURCHASES @ COST-COMPUTER EQUI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"5085", " - ", "PURCHASES @ COST-SOFTWARE")</f>
        <v xml:space="preserve">          5085 - PURCHASES @ COST-SOFTWARE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"5086", " - ", "PURCHASES @ COST-COMPUTER SUPP")</f>
        <v xml:space="preserve">          5086 - PURCHASES @ COST-COMPUTER SUPP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"5200", " - ", "PURCHASES OFFSET")</f>
        <v xml:space="preserve">          5200 - PURCHASES OFFSET</v>
      </c>
      <c r="C26" s="11"/>
      <c r="D26" s="2">
        <v>-183675.67</v>
      </c>
      <c r="E26" s="2"/>
      <c r="F26" s="19">
        <f t="shared" si="4"/>
        <v>-1.3754116016996261</v>
      </c>
      <c r="G26" s="2"/>
      <c r="H26" s="2"/>
      <c r="I26" s="2"/>
      <c r="J26" s="19">
        <f t="shared" si="5"/>
        <v>0</v>
      </c>
      <c r="K26" s="2"/>
      <c r="L26" s="2">
        <f t="shared" si="6"/>
        <v>-183675.67</v>
      </c>
      <c r="M26" s="2"/>
      <c r="N26" s="19">
        <f t="shared" si="7"/>
        <v>0</v>
      </c>
      <c r="O26" s="11"/>
      <c r="P26" s="2">
        <v>-927282.37</v>
      </c>
      <c r="Q26" s="2"/>
      <c r="R26" s="19">
        <f t="shared" si="8"/>
        <v>-0.95927436182162351</v>
      </c>
      <c r="S26" s="2"/>
      <c r="T26" s="2"/>
      <c r="U26" s="2"/>
      <c r="V26" s="19">
        <f t="shared" si="9"/>
        <v>0</v>
      </c>
      <c r="W26" s="2"/>
      <c r="X26" s="2">
        <f t="shared" si="10"/>
        <v>-927282.37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"5300", " - ", "COG$ OFFSET")</f>
        <v xml:space="preserve">          5300 - COG$ OFFSET</v>
      </c>
      <c r="C27" s="11"/>
      <c r="D27" s="2">
        <v>125992.53</v>
      </c>
      <c r="E27" s="2"/>
      <c r="F27" s="19">
        <f t="shared" si="4"/>
        <v>0.9434651170157059</v>
      </c>
      <c r="G27" s="2"/>
      <c r="H27" s="2"/>
      <c r="I27" s="2"/>
      <c r="J27" s="19">
        <f t="shared" si="5"/>
        <v>0</v>
      </c>
      <c r="K27" s="2"/>
      <c r="L27" s="2">
        <f t="shared" si="6"/>
        <v>125992.53</v>
      </c>
      <c r="M27" s="2"/>
      <c r="N27" s="19">
        <f t="shared" si="7"/>
        <v>0</v>
      </c>
      <c r="O27" s="11"/>
      <c r="P27" s="2">
        <v>909361.71</v>
      </c>
      <c r="Q27" s="2"/>
      <c r="R27" s="19">
        <f t="shared" si="8"/>
        <v>0.94073542455602832</v>
      </c>
      <c r="S27" s="2"/>
      <c r="T27" s="2"/>
      <c r="U27" s="2"/>
      <c r="V27" s="19">
        <f t="shared" si="9"/>
        <v>0</v>
      </c>
      <c r="W27" s="2"/>
      <c r="X27" s="2">
        <f t="shared" si="10"/>
        <v>909361.71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"5500", " - ", "FREIGHT-IN")</f>
        <v xml:space="preserve">          5500 - FREIGHT-IN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44.19</v>
      </c>
      <c r="Q28" s="2"/>
      <c r="R28" s="19">
        <f t="shared" si="8"/>
        <v>4.5714590744238496E-5</v>
      </c>
      <c r="S28" s="2"/>
      <c r="T28" s="2"/>
      <c r="U28" s="2"/>
      <c r="V28" s="19">
        <f t="shared" si="9"/>
        <v>0</v>
      </c>
      <c r="W28" s="2"/>
      <c r="X28" s="2">
        <f t="shared" si="10"/>
        <v>44.19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"5583", " - ", "FREIGHT-IN-COMPUTER EQUIPMENT")</f>
        <v xml:space="preserve">          5583 - FREIGHT-IN-COMPUTER EQUIPMENT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0">
        <f>D12-D19</f>
        <v>13709.829999999987</v>
      </c>
      <c r="E31" s="13"/>
      <c r="F31" s="22">
        <f>IF(D$12=0,0,D31/D$12)</f>
        <v>0.10266280362189269</v>
      </c>
      <c r="G31" s="13"/>
      <c r="H31" s="20">
        <f>H12-H19</f>
        <v>6654</v>
      </c>
      <c r="I31" s="13"/>
      <c r="J31" s="22">
        <f>IF(H$12=0,0,H31/H$12)</f>
        <v>0.10499739636753823</v>
      </c>
      <c r="K31" s="16"/>
      <c r="L31" s="20">
        <f>+D31-H31</f>
        <v>7055.8299999999872</v>
      </c>
      <c r="M31" s="16"/>
      <c r="N31" s="22">
        <f>IF(H31=0,0,L31/H31)</f>
        <v>1.0603892395551529</v>
      </c>
      <c r="O31" s="25"/>
      <c r="P31" s="20">
        <f>P12-P19</f>
        <v>144157.57000000007</v>
      </c>
      <c r="Q31" s="13"/>
      <c r="R31" s="22">
        <f>IF(P$12=0,0,P31/P$12)</f>
        <v>0.14913112277062496</v>
      </c>
      <c r="S31" s="13"/>
      <c r="T31" s="20">
        <f>T12-T19</f>
        <v>124693</v>
      </c>
      <c r="U31" s="13"/>
      <c r="V31" s="22">
        <f>IF(T$12=0,0,T31/T$12)</f>
        <v>0.10500127153825814</v>
      </c>
      <c r="W31" s="16"/>
      <c r="X31" s="20">
        <f>+P31-T31</f>
        <v>19464.570000000065</v>
      </c>
      <c r="Y31" s="16"/>
      <c r="Z31" s="22">
        <f>IF(T31=0,0,X31/T31)</f>
        <v>0.156099941456217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1">
        <f>SUM(OSRRefD22x_0)</f>
        <v>12627.03</v>
      </c>
      <c r="E33" s="21"/>
      <c r="F33" s="32">
        <f t="shared" ref="F33:F44" si="12">IF(D$12=0,0,D33/D$12)</f>
        <v>9.4554513164477522E-2</v>
      </c>
      <c r="G33" s="21"/>
      <c r="H33" s="21">
        <f>SUM(OSRRefH22x_0)</f>
        <v>13451.32058487</v>
      </c>
      <c r="I33" s="21"/>
      <c r="J33" s="32">
        <f t="shared" ref="J33:J44" si="13">IF(H$12=0,0,H33/H$12)</f>
        <v>0.21225633289997317</v>
      </c>
      <c r="K33" s="4"/>
      <c r="L33" s="21">
        <f t="shared" ref="L33:L44" si="14">+D33-H33</f>
        <v>-824.29058486999929</v>
      </c>
      <c r="M33" s="4"/>
      <c r="N33" s="32">
        <f t="shared" ref="N33:N44" si="15">IF(H33=0,0,L33/H33)</f>
        <v>-6.1279528628375608E-2</v>
      </c>
      <c r="O33" s="10"/>
      <c r="P33" s="21">
        <f>SUM(OSRRefP22x_0)</f>
        <v>84408.550000000032</v>
      </c>
      <c r="Q33" s="21"/>
      <c r="R33" s="32">
        <f t="shared" ref="R33:R44" si="16">IF(P$12=0,0,P33/P$12)</f>
        <v>8.7320713251065718E-2</v>
      </c>
      <c r="S33" s="21"/>
      <c r="T33" s="21">
        <f>SUM(OSRRefT22x_0)</f>
        <v>94355.818981655</v>
      </c>
      <c r="U33" s="21"/>
      <c r="V33" s="32">
        <f t="shared" ref="V33:V44" si="17">IF(T$12=0,0,T33/T$12)</f>
        <v>7.94549892143704E-2</v>
      </c>
      <c r="W33" s="4"/>
      <c r="X33" s="21">
        <f t="shared" ref="X33:X44" si="18">+P33-T33</f>
        <v>-9947.2689816549682</v>
      </c>
      <c r="Y33" s="4"/>
      <c r="Z33" s="32">
        <f t="shared" ref="Z33:Z44" si="19">IF(T33=0,0,X33/T33)</f>
        <v>-0.10542295206604006</v>
      </c>
    </row>
    <row r="34" spans="1:26" s="28" customFormat="1" outlineLevel="1" collapsed="1" x14ac:dyDescent="0.3">
      <c r="A34" s="27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2379.6800000000003</v>
      </c>
      <c r="E34" s="1"/>
      <c r="F34" s="5">
        <f t="shared" si="12"/>
        <v>1.7819668115720316E-2</v>
      </c>
      <c r="G34" s="1"/>
      <c r="H34" s="1">
        <f>SUM(OSRRefH22_0x_0)</f>
        <v>2547.77003487</v>
      </c>
      <c r="I34" s="1"/>
      <c r="J34" s="5">
        <f t="shared" si="13"/>
        <v>4.0202768290439145E-2</v>
      </c>
      <c r="K34" s="1"/>
      <c r="L34" s="1">
        <f t="shared" si="14"/>
        <v>-168.09003486999973</v>
      </c>
      <c r="M34" s="1"/>
      <c r="N34" s="5">
        <f t="shared" si="15"/>
        <v>-6.5975355926727708E-2</v>
      </c>
      <c r="O34" s="14"/>
      <c r="P34" s="1">
        <f>SUM(OSRRefP22_0x_0)</f>
        <v>11303.21</v>
      </c>
      <c r="Q34" s="1"/>
      <c r="R34" s="5">
        <f t="shared" si="16"/>
        <v>1.1693179887897353E-2</v>
      </c>
      <c r="S34" s="1"/>
      <c r="T34" s="1">
        <f>SUM(OSRRefT22_0x_0)</f>
        <v>17125.740406655001</v>
      </c>
      <c r="U34" s="1"/>
      <c r="V34" s="5">
        <f t="shared" si="17"/>
        <v>1.4421214653051103E-2</v>
      </c>
      <c r="W34" s="1"/>
      <c r="X34" s="1">
        <f t="shared" si="18"/>
        <v>-5822.5304066550016</v>
      </c>
      <c r="Y34" s="1"/>
      <c r="Z34" s="5">
        <f t="shared" si="19"/>
        <v>-0.33998707608532869</v>
      </c>
    </row>
    <row r="35" spans="1:26" s="24" customFormat="1" hidden="1" outlineLevel="2" x14ac:dyDescent="0.3">
      <c r="A35" s="29"/>
      <c r="B35" s="11" t="str">
        <f>CONCATENATE("          ", "6111", " - ", "F.I.C.A.")</f>
        <v xml:space="preserve">          6111 - F.I.C.A.</v>
      </c>
      <c r="C35" s="11"/>
      <c r="D35" s="6">
        <v>494.27</v>
      </c>
      <c r="E35" s="2"/>
      <c r="F35" s="7">
        <f t="shared" si="12"/>
        <v>3.7012234248121928E-3</v>
      </c>
      <c r="G35" s="2"/>
      <c r="H35" s="6">
        <v>457.37151956999998</v>
      </c>
      <c r="I35" s="2"/>
      <c r="J35" s="7">
        <f t="shared" si="13"/>
        <v>7.217135366323197E-3</v>
      </c>
      <c r="K35" s="2"/>
      <c r="L35" s="6">
        <f t="shared" si="14"/>
        <v>36.898480430000006</v>
      </c>
      <c r="M35" s="2"/>
      <c r="N35" s="7">
        <f t="shared" si="15"/>
        <v>8.0675072345322882E-2</v>
      </c>
      <c r="O35" s="11"/>
      <c r="P35" s="6">
        <v>3303.91</v>
      </c>
      <c r="Q35" s="2"/>
      <c r="R35" s="7">
        <f t="shared" si="16"/>
        <v>3.4178975674541076E-3</v>
      </c>
      <c r="S35" s="2"/>
      <c r="T35" s="6">
        <v>3751.6841572049998</v>
      </c>
      <c r="U35" s="2"/>
      <c r="V35" s="7">
        <f t="shared" si="17"/>
        <v>3.1592118797082701E-3</v>
      </c>
      <c r="W35" s="2"/>
      <c r="X35" s="6">
        <f t="shared" si="18"/>
        <v>-447.77415720499994</v>
      </c>
      <c r="Y35" s="2"/>
      <c r="Z35" s="7">
        <f t="shared" si="19"/>
        <v>-0.11935283953609548</v>
      </c>
    </row>
    <row r="36" spans="1:26" s="24" customFormat="1" hidden="1" outlineLevel="2" x14ac:dyDescent="0.3">
      <c r="A36" s="29"/>
      <c r="B36" s="11" t="str">
        <f>CONCATENATE("          ", "6112", " - ", "COMPENSATION INSURANCE")</f>
        <v xml:space="preserve">          6112 - COMPENSATION INSURANCE</v>
      </c>
      <c r="C36" s="11"/>
      <c r="D36" s="6">
        <v>142.52000000000001</v>
      </c>
      <c r="E36" s="2"/>
      <c r="F36" s="7">
        <f t="shared" si="12"/>
        <v>1.0672271481259913E-3</v>
      </c>
      <c r="G36" s="2"/>
      <c r="H36" s="6">
        <v>155.41295640000001</v>
      </c>
      <c r="I36" s="2"/>
      <c r="J36" s="7">
        <f t="shared" si="13"/>
        <v>2.4523528379593834E-3</v>
      </c>
      <c r="K36" s="2"/>
      <c r="L36" s="6">
        <f t="shared" si="14"/>
        <v>-12.892956400000003</v>
      </c>
      <c r="M36" s="2"/>
      <c r="N36" s="7">
        <f t="shared" si="15"/>
        <v>-8.2959340705264395E-2</v>
      </c>
      <c r="O36" s="11"/>
      <c r="P36" s="6">
        <v>876.92</v>
      </c>
      <c r="Q36" s="2"/>
      <c r="R36" s="7">
        <f t="shared" si="16"/>
        <v>9.0717444931970185E-4</v>
      </c>
      <c r="S36" s="2"/>
      <c r="T36" s="6">
        <v>1051.7894166000001</v>
      </c>
      <c r="U36" s="2"/>
      <c r="V36" s="7">
        <f t="shared" si="17"/>
        <v>8.8568906140266675E-4</v>
      </c>
      <c r="W36" s="2"/>
      <c r="X36" s="6">
        <f t="shared" si="18"/>
        <v>-174.86941660000014</v>
      </c>
      <c r="Y36" s="2"/>
      <c r="Z36" s="7">
        <f t="shared" si="19"/>
        <v>-0.16625896195578826</v>
      </c>
    </row>
    <row r="37" spans="1:26" s="24" customFormat="1" hidden="1" outlineLevel="2" x14ac:dyDescent="0.3">
      <c r="A37" s="29"/>
      <c r="B37" s="11" t="str">
        <f>CONCATENATE("          ", "6113", " - ", "GROUP INSURANCE")</f>
        <v xml:space="preserve">          6113 - GROUP INSURANCE</v>
      </c>
      <c r="C37" s="11"/>
      <c r="D37" s="6">
        <v>853.84</v>
      </c>
      <c r="E37" s="2"/>
      <c r="F37" s="7">
        <f t="shared" si="12"/>
        <v>6.3937779129658746E-3</v>
      </c>
      <c r="G37" s="2"/>
      <c r="H37" s="6">
        <v>943.5</v>
      </c>
      <c r="I37" s="2"/>
      <c r="J37" s="7">
        <f t="shared" si="13"/>
        <v>1.488804380414372E-2</v>
      </c>
      <c r="K37" s="2"/>
      <c r="L37" s="6">
        <f t="shared" si="14"/>
        <v>-89.659999999999968</v>
      </c>
      <c r="M37" s="2"/>
      <c r="N37" s="7">
        <f t="shared" si="15"/>
        <v>-9.5029146793852645E-2</v>
      </c>
      <c r="O37" s="11"/>
      <c r="P37" s="6">
        <v>3750.41</v>
      </c>
      <c r="Q37" s="2"/>
      <c r="R37" s="7">
        <f t="shared" si="16"/>
        <v>3.8798021786173231E-3</v>
      </c>
      <c r="S37" s="2"/>
      <c r="T37" s="6">
        <v>5967</v>
      </c>
      <c r="U37" s="2"/>
      <c r="V37" s="7">
        <f t="shared" si="17"/>
        <v>5.0246813154610631E-3</v>
      </c>
      <c r="W37" s="2"/>
      <c r="X37" s="6">
        <f t="shared" si="18"/>
        <v>-2216.59</v>
      </c>
      <c r="Y37" s="2"/>
      <c r="Z37" s="7">
        <f t="shared" si="19"/>
        <v>-0.37147477794536621</v>
      </c>
    </row>
    <row r="38" spans="1:26" s="24" customFormat="1" hidden="1" outlineLevel="2" x14ac:dyDescent="0.3">
      <c r="A38" s="29"/>
      <c r="B38" s="11" t="str">
        <f>CONCATENATE("          ", "6114", " - ", "STATE UNEMPLOYMENT INSURANCE")</f>
        <v xml:space="preserve">          6114 - STATE UNEMPLOYMENT INSURANCE</v>
      </c>
      <c r="C38" s="11"/>
      <c r="D38" s="6">
        <v>25.04</v>
      </c>
      <c r="E38" s="2"/>
      <c r="F38" s="7">
        <f t="shared" si="12"/>
        <v>1.8750608889331197E-4</v>
      </c>
      <c r="G38" s="2"/>
      <c r="H38" s="6">
        <v>20.920974900000001</v>
      </c>
      <c r="I38" s="2"/>
      <c r="J38" s="7">
        <f t="shared" si="13"/>
        <v>3.3012442049453237E-4</v>
      </c>
      <c r="K38" s="2"/>
      <c r="L38" s="6">
        <f t="shared" si="14"/>
        <v>4.1190250999999982</v>
      </c>
      <c r="M38" s="2"/>
      <c r="N38" s="7">
        <f t="shared" si="15"/>
        <v>0.19688495013681212</v>
      </c>
      <c r="O38" s="11"/>
      <c r="P38" s="6">
        <v>154.06</v>
      </c>
      <c r="Q38" s="2"/>
      <c r="R38" s="7">
        <f t="shared" si="16"/>
        <v>1.5937519461546465E-4</v>
      </c>
      <c r="S38" s="2"/>
      <c r="T38" s="6">
        <v>141.58703685</v>
      </c>
      <c r="U38" s="2"/>
      <c r="V38" s="7">
        <f t="shared" si="17"/>
        <v>1.1922737365035899E-4</v>
      </c>
      <c r="W38" s="2"/>
      <c r="X38" s="6">
        <f t="shared" si="18"/>
        <v>12.472963149999998</v>
      </c>
      <c r="Y38" s="2"/>
      <c r="Z38" s="7">
        <f t="shared" si="19"/>
        <v>8.8093962748963334E-2</v>
      </c>
    </row>
    <row r="39" spans="1:26" s="24" customFormat="1" hidden="1" outlineLevel="2" x14ac:dyDescent="0.3">
      <c r="A39" s="29"/>
      <c r="B39" s="11" t="str">
        <f>CONCATENATE("          ", "6115", " - ", "P.E.R.S.")</f>
        <v xml:space="preserve">          6115 - P.E.R.S.</v>
      </c>
      <c r="C39" s="11"/>
      <c r="D39" s="6">
        <v>103.22</v>
      </c>
      <c r="E39" s="2"/>
      <c r="F39" s="7">
        <f t="shared" si="12"/>
        <v>7.7293843832139224E-4</v>
      </c>
      <c r="G39" s="2"/>
      <c r="H39" s="6">
        <v>202.166134</v>
      </c>
      <c r="I39" s="2"/>
      <c r="J39" s="7">
        <f t="shared" si="13"/>
        <v>3.1900988433560032E-3</v>
      </c>
      <c r="K39" s="2"/>
      <c r="L39" s="6">
        <f t="shared" si="14"/>
        <v>-98.946134000000001</v>
      </c>
      <c r="M39" s="2"/>
      <c r="N39" s="7">
        <f t="shared" si="15"/>
        <v>-0.48942981716215633</v>
      </c>
      <c r="O39" s="11"/>
      <c r="P39" s="6">
        <v>687.72</v>
      </c>
      <c r="Q39" s="2"/>
      <c r="R39" s="7">
        <f t="shared" si="16"/>
        <v>7.1144689628032819E-4</v>
      </c>
      <c r="S39" s="2"/>
      <c r="T39" s="6">
        <v>1314.0798709999999</v>
      </c>
      <c r="U39" s="2"/>
      <c r="V39" s="7">
        <f t="shared" si="17"/>
        <v>1.1065581657176444E-3</v>
      </c>
      <c r="W39" s="2"/>
      <c r="X39" s="6">
        <f t="shared" si="18"/>
        <v>-626.35987099999988</v>
      </c>
      <c r="Y39" s="2"/>
      <c r="Z39" s="7">
        <f t="shared" si="19"/>
        <v>-0.47665281602962772</v>
      </c>
    </row>
    <row r="40" spans="1:26" s="24" customFormat="1" hidden="1" outlineLevel="2" x14ac:dyDescent="0.3">
      <c r="A40" s="29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"6117", " - ", "RETIREMENT STAFF HOURLY")</f>
        <v xml:space="preserve">          6117 - RETIREMENT STAFF HOURLY</v>
      </c>
      <c r="C41" s="11"/>
      <c r="D41" s="6">
        <v>120</v>
      </c>
      <c r="E41" s="2"/>
      <c r="F41" s="7">
        <f t="shared" si="12"/>
        <v>8.9859148031938649E-4</v>
      </c>
      <c r="G41" s="2"/>
      <c r="H41" s="6"/>
      <c r="I41" s="2"/>
      <c r="J41" s="7">
        <f t="shared" si="13"/>
        <v>0</v>
      </c>
      <c r="K41" s="2"/>
      <c r="L41" s="6">
        <f t="shared" si="14"/>
        <v>120</v>
      </c>
      <c r="M41" s="2"/>
      <c r="N41" s="7">
        <f t="shared" si="15"/>
        <v>0</v>
      </c>
      <c r="O41" s="11"/>
      <c r="P41" s="6">
        <v>-417.34</v>
      </c>
      <c r="Q41" s="2"/>
      <c r="R41" s="7">
        <f t="shared" si="16"/>
        <v>-4.3173856757638593E-4</v>
      </c>
      <c r="S41" s="2"/>
      <c r="T41" s="6"/>
      <c r="U41" s="2"/>
      <c r="V41" s="7">
        <f t="shared" si="17"/>
        <v>0</v>
      </c>
      <c r="W41" s="2"/>
      <c r="X41" s="6">
        <f t="shared" si="18"/>
        <v>-417.34</v>
      </c>
      <c r="Y41" s="2"/>
      <c r="Z41" s="7">
        <f t="shared" si="19"/>
        <v>0</v>
      </c>
    </row>
    <row r="42" spans="1:26" s="24" customFormat="1" hidden="1" outlineLevel="2" x14ac:dyDescent="0.3">
      <c r="A42" s="29"/>
      <c r="B42" s="11" t="str">
        <f>CONCATENATE("          ", "6118", " - ", "VACATION")</f>
        <v xml:space="preserve">          6118 - VACATION</v>
      </c>
      <c r="C42" s="11"/>
      <c r="D42" s="6">
        <v>227.57</v>
      </c>
      <c r="E42" s="2"/>
      <c r="F42" s="7">
        <f t="shared" si="12"/>
        <v>1.7041038598023565E-3</v>
      </c>
      <c r="G42" s="2"/>
      <c r="H42" s="6">
        <v>179.29106999999999</v>
      </c>
      <c r="I42" s="2"/>
      <c r="J42" s="7">
        <f t="shared" si="13"/>
        <v>2.8291396967162672E-3</v>
      </c>
      <c r="K42" s="2"/>
      <c r="L42" s="6">
        <f t="shared" si="14"/>
        <v>48.278930000000003</v>
      </c>
      <c r="M42" s="2"/>
      <c r="N42" s="7">
        <f t="shared" si="15"/>
        <v>0.269276824551273</v>
      </c>
      <c r="O42" s="11"/>
      <c r="P42" s="6">
        <v>1015.47</v>
      </c>
      <c r="Q42" s="2"/>
      <c r="R42" s="7">
        <f t="shared" si="16"/>
        <v>1.0505045363894969E-3</v>
      </c>
      <c r="S42" s="2"/>
      <c r="T42" s="6">
        <v>1165.3919550000001</v>
      </c>
      <c r="U42" s="2"/>
      <c r="V42" s="7">
        <f t="shared" si="17"/>
        <v>9.8135129570590582E-4</v>
      </c>
      <c r="W42" s="2"/>
      <c r="X42" s="6">
        <f t="shared" si="18"/>
        <v>-149.92195500000003</v>
      </c>
      <c r="Y42" s="2"/>
      <c r="Z42" s="7">
        <f t="shared" si="19"/>
        <v>-0.12864509177086264</v>
      </c>
    </row>
    <row r="43" spans="1:26" s="24" customFormat="1" hidden="1" outlineLevel="2" x14ac:dyDescent="0.3">
      <c r="A43" s="29"/>
      <c r="B43" s="11" t="str">
        <f>CONCATENATE("          ", "6119", " - ", "SICK LEAVE")</f>
        <v xml:space="preserve">          6119 - SICK LEAVE</v>
      </c>
      <c r="C43" s="11"/>
      <c r="D43" s="6">
        <v>216.23</v>
      </c>
      <c r="E43" s="2"/>
      <c r="F43" s="7">
        <f t="shared" si="12"/>
        <v>1.6191869649121744E-3</v>
      </c>
      <c r="G43" s="2"/>
      <c r="H43" s="6">
        <v>239.10738000000001</v>
      </c>
      <c r="I43" s="2"/>
      <c r="J43" s="7">
        <f t="shared" si="13"/>
        <v>3.7730165843498022E-3</v>
      </c>
      <c r="K43" s="2"/>
      <c r="L43" s="6">
        <f t="shared" si="14"/>
        <v>-22.877380000000016</v>
      </c>
      <c r="M43" s="2"/>
      <c r="N43" s="7">
        <f t="shared" si="15"/>
        <v>-9.5678268065168104E-2</v>
      </c>
      <c r="O43" s="11"/>
      <c r="P43" s="6">
        <v>1046.9100000000001</v>
      </c>
      <c r="Q43" s="2"/>
      <c r="R43" s="7">
        <f t="shared" si="16"/>
        <v>1.0830292418205641E-3</v>
      </c>
      <c r="S43" s="2"/>
      <c r="T43" s="6">
        <v>1634.2079699999999</v>
      </c>
      <c r="U43" s="2"/>
      <c r="V43" s="7">
        <f t="shared" si="17"/>
        <v>1.376131096436493E-3</v>
      </c>
      <c r="W43" s="2"/>
      <c r="X43" s="6">
        <f t="shared" si="18"/>
        <v>-587.29796999999985</v>
      </c>
      <c r="Y43" s="2"/>
      <c r="Z43" s="7">
        <f t="shared" si="19"/>
        <v>-0.35937774186721161</v>
      </c>
    </row>
    <row r="44" spans="1:26" s="24" customFormat="1" hidden="1" outlineLevel="2" x14ac:dyDescent="0.3">
      <c r="A44" s="29"/>
      <c r="B44" s="11" t="str">
        <f>CONCATENATE("          ", "6156", " - ", "EMPLOYEE MEALS")</f>
        <v xml:space="preserve">          6156 - EMPLOYEE MEALS</v>
      </c>
      <c r="C44" s="11"/>
      <c r="D44" s="6">
        <v>196.99</v>
      </c>
      <c r="E44" s="2"/>
      <c r="F44" s="7">
        <f t="shared" si="12"/>
        <v>1.4751127975676328E-3</v>
      </c>
      <c r="G44" s="2"/>
      <c r="H44" s="6">
        <v>350</v>
      </c>
      <c r="I44" s="2"/>
      <c r="J44" s="7">
        <f t="shared" si="13"/>
        <v>5.5228567370962395E-3</v>
      </c>
      <c r="K44" s="2"/>
      <c r="L44" s="6">
        <f t="shared" si="14"/>
        <v>-153.01</v>
      </c>
      <c r="M44" s="2"/>
      <c r="N44" s="7">
        <f t="shared" si="15"/>
        <v>-0.43717142857142854</v>
      </c>
      <c r="O44" s="11"/>
      <c r="P44" s="6">
        <v>885.15</v>
      </c>
      <c r="Q44" s="2"/>
      <c r="R44" s="7">
        <f t="shared" si="16"/>
        <v>9.1568839097675282E-4</v>
      </c>
      <c r="S44" s="2"/>
      <c r="T44" s="6">
        <v>2100</v>
      </c>
      <c r="U44" s="2"/>
      <c r="V44" s="7">
        <f t="shared" si="17"/>
        <v>1.7683644649687E-3</v>
      </c>
      <c r="W44" s="2"/>
      <c r="X44" s="6">
        <f t="shared" si="18"/>
        <v>-1214.8499999999999</v>
      </c>
      <c r="Y44" s="2"/>
      <c r="Z44" s="7">
        <f t="shared" si="19"/>
        <v>-0.5784999999999999</v>
      </c>
    </row>
    <row r="45" spans="1:26" s="28" customFormat="1" outlineLevel="1" collapsed="1" x14ac:dyDescent="0.3">
      <c r="A45" s="27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9388.6099999999988</v>
      </c>
      <c r="E45" s="1"/>
      <c r="F45" s="5">
        <f t="shared" ref="F45:F55" si="20">IF(D$12=0,0,D45/D$12)</f>
        <v>7.0304374650344947E-2</v>
      </c>
      <c r="G45" s="1"/>
      <c r="H45" s="1">
        <f>SUM(OSRRefH22_1x_0)</f>
        <v>9663.5505499999999</v>
      </c>
      <c r="I45" s="1"/>
      <c r="J45" s="5">
        <f t="shared" ref="J45:J55" si="21">IF(H$12=0,0,H45/H$12)</f>
        <v>0.15248687216953591</v>
      </c>
      <c r="K45" s="1"/>
      <c r="L45" s="1">
        <f t="shared" ref="L45:L55" si="22">+D45-H45</f>
        <v>-274.94055000000117</v>
      </c>
      <c r="M45" s="1"/>
      <c r="N45" s="5">
        <f t="shared" ref="N45:N55" si="23">IF(H45=0,0,L45/H45)</f>
        <v>-2.8451297333980538E-2</v>
      </c>
      <c r="O45" s="14"/>
      <c r="P45" s="1">
        <f>SUM(OSRRefP22_1x_0)</f>
        <v>60972.63</v>
      </c>
      <c r="Q45" s="1"/>
      <c r="R45" s="5">
        <f t="shared" ref="R45:R55" si="24">IF(P$12=0,0,P45/P$12)</f>
        <v>6.3076235054308177E-2</v>
      </c>
      <c r="S45" s="1"/>
      <c r="T45" s="1">
        <f>SUM(OSRRefT22_1x_0)</f>
        <v>65480.078575</v>
      </c>
      <c r="U45" s="1"/>
      <c r="V45" s="5">
        <f t="shared" ref="V45:V55" si="25">IF(T$12=0,0,T45/T$12)</f>
        <v>5.5139354340661098E-2</v>
      </c>
      <c r="W45" s="1"/>
      <c r="X45" s="1">
        <f t="shared" ref="X45:X55" si="26">+P45-T45</f>
        <v>-4507.4485750000022</v>
      </c>
      <c r="Y45" s="1"/>
      <c r="Z45" s="5">
        <f t="shared" ref="Z45:Z55" si="27">IF(T45=0,0,X45/T45)</f>
        <v>-6.883694511510445E-2</v>
      </c>
    </row>
    <row r="46" spans="1:26" s="24" customFormat="1" hidden="1" outlineLevel="2" x14ac:dyDescent="0.3">
      <c r="A46" s="29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"6002", " - ", "STAFF SALARIES")</f>
        <v xml:space="preserve">          6002 - STAFF SALARIES</v>
      </c>
      <c r="C47" s="11"/>
      <c r="D47" s="6">
        <v>1360</v>
      </c>
      <c r="E47" s="2"/>
      <c r="F47" s="7">
        <f t="shared" si="20"/>
        <v>1.0184036776953046E-2</v>
      </c>
      <c r="G47" s="2"/>
      <c r="H47" s="6">
        <v>2233.2305500000002</v>
      </c>
      <c r="I47" s="2"/>
      <c r="J47" s="7">
        <f t="shared" si="21"/>
        <v>3.5239463967304693E-2</v>
      </c>
      <c r="K47" s="2"/>
      <c r="L47" s="6">
        <f t="shared" si="22"/>
        <v>-873.23055000000022</v>
      </c>
      <c r="M47" s="2"/>
      <c r="N47" s="7">
        <f t="shared" si="23"/>
        <v>-0.39101674925591545</v>
      </c>
      <c r="O47" s="11"/>
      <c r="P47" s="6">
        <v>11552.94</v>
      </c>
      <c r="Q47" s="2"/>
      <c r="R47" s="7">
        <f t="shared" si="24"/>
        <v>1.1951525774898003E-2</v>
      </c>
      <c r="S47" s="2"/>
      <c r="T47" s="6">
        <v>14515.998575</v>
      </c>
      <c r="U47" s="2"/>
      <c r="V47" s="7">
        <f t="shared" si="25"/>
        <v>1.2223607644555374E-2</v>
      </c>
      <c r="W47" s="2"/>
      <c r="X47" s="6">
        <f t="shared" si="26"/>
        <v>-2963.0585749999991</v>
      </c>
      <c r="Y47" s="2"/>
      <c r="Z47" s="7">
        <f t="shared" si="27"/>
        <v>-0.20412364741500391</v>
      </c>
    </row>
    <row r="48" spans="1:26" s="24" customFormat="1" hidden="1" outlineLevel="2" x14ac:dyDescent="0.3">
      <c r="A48" s="29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9"/>
      <c r="B49" s="11" t="str">
        <f>CONCATENATE("          ", "6004", " - ", "STAFF HOURLY")</f>
        <v xml:space="preserve">          6004 - STAFF HOURLY</v>
      </c>
      <c r="C49" s="11"/>
      <c r="D49" s="6">
        <v>2991.75</v>
      </c>
      <c r="E49" s="2"/>
      <c r="F49" s="7">
        <f t="shared" si="20"/>
        <v>2.2403008843712702E-2</v>
      </c>
      <c r="G49" s="2"/>
      <c r="H49" s="6">
        <v>3444.32</v>
      </c>
      <c r="I49" s="2"/>
      <c r="J49" s="7">
        <f t="shared" si="21"/>
        <v>5.4349959762043779E-2</v>
      </c>
      <c r="K49" s="2"/>
      <c r="L49" s="6">
        <f t="shared" si="22"/>
        <v>-452.57000000000016</v>
      </c>
      <c r="M49" s="2"/>
      <c r="N49" s="7">
        <f t="shared" si="23"/>
        <v>-0.13139603753425935</v>
      </c>
      <c r="O49" s="11"/>
      <c r="P49" s="6">
        <v>17742.23</v>
      </c>
      <c r="Q49" s="2"/>
      <c r="R49" s="7">
        <f t="shared" si="24"/>
        <v>1.8354351286267268E-2</v>
      </c>
      <c r="S49" s="2"/>
      <c r="T49" s="6">
        <v>22388.080000000002</v>
      </c>
      <c r="U49" s="2"/>
      <c r="V49" s="7">
        <f t="shared" si="25"/>
        <v>1.8852516719464977E-2</v>
      </c>
      <c r="W49" s="2"/>
      <c r="X49" s="6">
        <f t="shared" si="26"/>
        <v>-4645.8500000000022</v>
      </c>
      <c r="Y49" s="2"/>
      <c r="Z49" s="7">
        <f t="shared" si="27"/>
        <v>-0.20751444518690312</v>
      </c>
    </row>
    <row r="50" spans="1:26" s="24" customFormat="1" hidden="1" outlineLevel="2" x14ac:dyDescent="0.3">
      <c r="A50" s="29"/>
      <c r="B50" s="11" t="str">
        <f>CONCATENATE("          ", "6005", " - ", "TEMPORARY WAGES-HOURLY")</f>
        <v xml:space="preserve">          6005 - TEMPORARY WAGES-HOURLY</v>
      </c>
      <c r="C50" s="11"/>
      <c r="D50" s="6">
        <v>1871.67</v>
      </c>
      <c r="E50" s="2"/>
      <c r="F50" s="7">
        <f t="shared" si="20"/>
        <v>1.401555596641155E-2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1871.67</v>
      </c>
      <c r="M50" s="2"/>
      <c r="N50" s="7">
        <f t="shared" si="23"/>
        <v>0</v>
      </c>
      <c r="O50" s="11"/>
      <c r="P50" s="6">
        <v>6879.14</v>
      </c>
      <c r="Q50" s="2"/>
      <c r="R50" s="7">
        <f t="shared" si="24"/>
        <v>7.116475894372502E-3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6879.14</v>
      </c>
      <c r="Y50" s="2"/>
      <c r="Z50" s="7">
        <f t="shared" si="27"/>
        <v>0</v>
      </c>
    </row>
    <row r="51" spans="1:26" s="24" customFormat="1" hidden="1" outlineLevel="2" x14ac:dyDescent="0.3">
      <c r="A51" s="29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9"/>
      <c r="B52" s="11" t="str">
        <f>CONCATENATE("          ", "6007", " - ", "STUDENT HOURLY")</f>
        <v xml:space="preserve">          6007 - STUDENT HOURLY</v>
      </c>
      <c r="C52" s="11"/>
      <c r="D52" s="6">
        <v>2051.54</v>
      </c>
      <c r="E52" s="2"/>
      <c r="F52" s="7">
        <f t="shared" si="20"/>
        <v>1.5362469712786951E-2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2051.54</v>
      </c>
      <c r="M52" s="2"/>
      <c r="N52" s="7">
        <f t="shared" si="23"/>
        <v>0</v>
      </c>
      <c r="O52" s="11"/>
      <c r="P52" s="6">
        <v>18652.689999999999</v>
      </c>
      <c r="Q52" s="2"/>
      <c r="R52" s="7">
        <f t="shared" si="24"/>
        <v>1.9296222892716677E-2</v>
      </c>
      <c r="S52" s="2"/>
      <c r="T52" s="6">
        <v>10176</v>
      </c>
      <c r="U52" s="2"/>
      <c r="V52" s="7">
        <f t="shared" si="25"/>
        <v>8.5689889502483293E-3</v>
      </c>
      <c r="W52" s="2"/>
      <c r="X52" s="6">
        <f t="shared" si="26"/>
        <v>8476.6899999999987</v>
      </c>
      <c r="Y52" s="2"/>
      <c r="Z52" s="7">
        <f t="shared" si="27"/>
        <v>0.83300805817610046</v>
      </c>
    </row>
    <row r="53" spans="1:26" s="24" customFormat="1" hidden="1" outlineLevel="2" x14ac:dyDescent="0.3">
      <c r="A53" s="29"/>
      <c r="B53" s="11" t="str">
        <f>CONCATENATE("          ", "6008", " - ", "STUDENT HOURLY-FICA EXEMPT")</f>
        <v xml:space="preserve">          6008 - STUDENT HOURLY-FICA EXEMPT</v>
      </c>
      <c r="C53" s="11"/>
      <c r="D53" s="6">
        <v>1113.6500000000001</v>
      </c>
      <c r="E53" s="2"/>
      <c r="F53" s="7">
        <f t="shared" si="20"/>
        <v>8.3393033504807063E-3</v>
      </c>
      <c r="G53" s="2"/>
      <c r="H53" s="6">
        <v>3986</v>
      </c>
      <c r="I53" s="2"/>
      <c r="J53" s="7">
        <f t="shared" si="21"/>
        <v>6.2897448440187465E-2</v>
      </c>
      <c r="K53" s="2"/>
      <c r="L53" s="6">
        <f t="shared" si="22"/>
        <v>-2872.35</v>
      </c>
      <c r="M53" s="2"/>
      <c r="N53" s="7">
        <f t="shared" si="23"/>
        <v>-0.72060963371801301</v>
      </c>
      <c r="O53" s="11"/>
      <c r="P53" s="6">
        <v>6145.63</v>
      </c>
      <c r="Q53" s="2"/>
      <c r="R53" s="7">
        <f t="shared" si="24"/>
        <v>6.357659206053733E-3</v>
      </c>
      <c r="S53" s="2"/>
      <c r="T53" s="6">
        <v>18400</v>
      </c>
      <c r="U53" s="2"/>
      <c r="V53" s="7">
        <f t="shared" si="25"/>
        <v>1.5494241026392418E-2</v>
      </c>
      <c r="W53" s="2"/>
      <c r="X53" s="6">
        <f t="shared" si="26"/>
        <v>-12254.369999999999</v>
      </c>
      <c r="Y53" s="2"/>
      <c r="Z53" s="7">
        <f t="shared" si="27"/>
        <v>-0.6659983695652173</v>
      </c>
    </row>
    <row r="54" spans="1:26" s="24" customFormat="1" hidden="1" outlineLevel="2" x14ac:dyDescent="0.3">
      <c r="A54" s="29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9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8" customFormat="1" outlineLevel="1" collapsed="1" x14ac:dyDescent="0.3">
      <c r="A56" s="27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0</v>
      </c>
      <c r="E56" s="1"/>
      <c r="F56" s="5">
        <f t="shared" ref="F56:F70" si="28">IF(D$12=0,0,D56/D$12)</f>
        <v>0</v>
      </c>
      <c r="G56" s="1"/>
      <c r="H56" s="1">
        <f>SUM(OSRRefH22_2x_0)</f>
        <v>200</v>
      </c>
      <c r="I56" s="1"/>
      <c r="J56" s="5">
        <f t="shared" ref="J56:J70" si="29">IF(H$12=0,0,H56/H$12)</f>
        <v>3.1559181354835655E-3</v>
      </c>
      <c r="K56" s="1"/>
      <c r="L56" s="1">
        <f t="shared" ref="L56:L70" si="30">+D56-H56</f>
        <v>-200</v>
      </c>
      <c r="M56" s="1"/>
      <c r="N56" s="5">
        <f t="shared" ref="N56:N70" si="31">IF(H56=0,0,L56/H56)</f>
        <v>-1</v>
      </c>
      <c r="O56" s="14"/>
      <c r="P56" s="1">
        <f>SUM(OSRRefP22_2x_0)</f>
        <v>118.13</v>
      </c>
      <c r="Q56" s="1"/>
      <c r="R56" s="5">
        <f t="shared" ref="R56:R70" si="32">IF(P$12=0,0,P56/P$12)</f>
        <v>1.2220558055254342E-4</v>
      </c>
      <c r="S56" s="1"/>
      <c r="T56" s="1">
        <f>SUM(OSRRefT22_2x_0)</f>
        <v>1200</v>
      </c>
      <c r="U56" s="1"/>
      <c r="V56" s="5">
        <f t="shared" ref="V56:V70" si="33">IF(T$12=0,0,T56/T$12)</f>
        <v>1.0104939799821142E-3</v>
      </c>
      <c r="W56" s="1"/>
      <c r="X56" s="1">
        <f t="shared" ref="X56:X70" si="34">+P56-T56</f>
        <v>-1081.8699999999999</v>
      </c>
      <c r="Y56" s="1"/>
      <c r="Z56" s="5">
        <f t="shared" ref="Z56:Z70" si="35">IF(T56=0,0,X56/T56)</f>
        <v>-0.90155833333333324</v>
      </c>
    </row>
    <row r="57" spans="1:26" s="24" customFormat="1" hidden="1" outlineLevel="2" x14ac:dyDescent="0.3">
      <c r="A57" s="29"/>
      <c r="B57" s="11" t="str">
        <f>CONCATENATE("          ", "6362", " - ", "ADVERTISING EXPENSE")</f>
        <v xml:space="preserve">          6362 - ADVERTISING EXPENSE</v>
      </c>
      <c r="C57" s="11"/>
      <c r="D57" s="6"/>
      <c r="E57" s="2"/>
      <c r="F57" s="7">
        <f t="shared" si="28"/>
        <v>0</v>
      </c>
      <c r="G57" s="2"/>
      <c r="H57" s="6">
        <v>200</v>
      </c>
      <c r="I57" s="2"/>
      <c r="J57" s="7">
        <f t="shared" si="29"/>
        <v>3.1559181354835655E-3</v>
      </c>
      <c r="K57" s="2"/>
      <c r="L57" s="6">
        <f t="shared" si="30"/>
        <v>-200</v>
      </c>
      <c r="M57" s="2"/>
      <c r="N57" s="7">
        <f t="shared" si="31"/>
        <v>-1</v>
      </c>
      <c r="O57" s="11"/>
      <c r="P57" s="6">
        <v>118.13</v>
      </c>
      <c r="Q57" s="2"/>
      <c r="R57" s="7">
        <f t="shared" si="32"/>
        <v>1.2220558055254342E-4</v>
      </c>
      <c r="S57" s="2"/>
      <c r="T57" s="6">
        <v>1200</v>
      </c>
      <c r="U57" s="2"/>
      <c r="V57" s="7">
        <f t="shared" si="33"/>
        <v>1.0104939799821142E-3</v>
      </c>
      <c r="W57" s="2"/>
      <c r="X57" s="6">
        <f t="shared" si="34"/>
        <v>-1081.8699999999999</v>
      </c>
      <c r="Y57" s="2"/>
      <c r="Z57" s="7">
        <f t="shared" si="35"/>
        <v>-0.90155833333333324</v>
      </c>
    </row>
    <row r="58" spans="1:26" s="28" customFormat="1" outlineLevel="1" collapsed="1" x14ac:dyDescent="0.3">
      <c r="A58" s="27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SUM(OSRRefD22_3x_0)</f>
        <v>280.44</v>
      </c>
      <c r="E58" s="1"/>
      <c r="F58" s="5">
        <f t="shared" si="28"/>
        <v>2.1000082895064063E-3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280.44</v>
      </c>
      <c r="M58" s="1"/>
      <c r="N58" s="5">
        <f t="shared" si="31"/>
        <v>0</v>
      </c>
      <c r="O58" s="14"/>
      <c r="P58" s="1">
        <f>SUM(OSRRefP22_3x_0)</f>
        <v>1682.64</v>
      </c>
      <c r="Q58" s="1"/>
      <c r="R58" s="5">
        <f t="shared" si="32"/>
        <v>1.7406924410474196E-3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1682.64</v>
      </c>
      <c r="Y58" s="1"/>
      <c r="Z58" s="5">
        <f t="shared" si="35"/>
        <v>0</v>
      </c>
    </row>
    <row r="59" spans="1:26" s="24" customFormat="1" hidden="1" outlineLevel="2" x14ac:dyDescent="0.3">
      <c r="A59" s="29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280.44</v>
      </c>
      <c r="E59" s="2"/>
      <c r="F59" s="7">
        <f t="shared" si="28"/>
        <v>2.1000082895064063E-3</v>
      </c>
      <c r="G59" s="2"/>
      <c r="H59" s="6"/>
      <c r="I59" s="2"/>
      <c r="J59" s="7">
        <f t="shared" si="29"/>
        <v>0</v>
      </c>
      <c r="K59" s="2"/>
      <c r="L59" s="6">
        <f t="shared" si="30"/>
        <v>280.44</v>
      </c>
      <c r="M59" s="2"/>
      <c r="N59" s="7">
        <f t="shared" si="31"/>
        <v>0</v>
      </c>
      <c r="O59" s="11"/>
      <c r="P59" s="6">
        <v>1682.64</v>
      </c>
      <c r="Q59" s="2"/>
      <c r="R59" s="7">
        <f t="shared" si="32"/>
        <v>1.7406924410474196E-3</v>
      </c>
      <c r="S59" s="2"/>
      <c r="T59" s="6"/>
      <c r="U59" s="2"/>
      <c r="V59" s="7">
        <f t="shared" si="33"/>
        <v>0</v>
      </c>
      <c r="W59" s="2"/>
      <c r="X59" s="6">
        <f t="shared" si="34"/>
        <v>1682.64</v>
      </c>
      <c r="Y59" s="2"/>
      <c r="Z59" s="7">
        <f t="shared" si="35"/>
        <v>0</v>
      </c>
    </row>
    <row r="60" spans="1:26" s="28" customFormat="1" outlineLevel="1" collapsed="1" x14ac:dyDescent="0.3">
      <c r="A60" s="27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20</v>
      </c>
      <c r="I60" s="1"/>
      <c r="J60" s="5">
        <f t="shared" si="29"/>
        <v>3.1559181354835655E-4</v>
      </c>
      <c r="K60" s="1"/>
      <c r="L60" s="1">
        <f t="shared" si="30"/>
        <v>-20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120</v>
      </c>
      <c r="U60" s="1"/>
      <c r="V60" s="5">
        <f t="shared" si="33"/>
        <v>1.0104939799821143E-4</v>
      </c>
      <c r="W60" s="1"/>
      <c r="X60" s="1">
        <f t="shared" si="34"/>
        <v>-120</v>
      </c>
      <c r="Y60" s="1"/>
      <c r="Z60" s="5">
        <f t="shared" si="35"/>
        <v>-1</v>
      </c>
    </row>
    <row r="61" spans="1:26" s="24" customFormat="1" hidden="1" outlineLevel="2" x14ac:dyDescent="0.3">
      <c r="A61" s="29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28"/>
        <v>0</v>
      </c>
      <c r="G61" s="2"/>
      <c r="H61" s="6">
        <v>20</v>
      </c>
      <c r="I61" s="2"/>
      <c r="J61" s="7">
        <f t="shared" si="29"/>
        <v>3.1559181354835655E-4</v>
      </c>
      <c r="K61" s="2"/>
      <c r="L61" s="6">
        <f t="shared" si="30"/>
        <v>-20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120</v>
      </c>
      <c r="U61" s="2"/>
      <c r="V61" s="7">
        <f t="shared" si="33"/>
        <v>1.0104939799821143E-4</v>
      </c>
      <c r="W61" s="2"/>
      <c r="X61" s="6">
        <f t="shared" si="34"/>
        <v>-120</v>
      </c>
      <c r="Y61" s="2"/>
      <c r="Z61" s="7">
        <f t="shared" si="35"/>
        <v>-1</v>
      </c>
    </row>
    <row r="62" spans="1:26" s="28" customFormat="1" outlineLevel="1" collapsed="1" x14ac:dyDescent="0.3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0</v>
      </c>
      <c r="E62" s="1"/>
      <c r="F62" s="5">
        <f t="shared" si="28"/>
        <v>0</v>
      </c>
      <c r="G62" s="1"/>
      <c r="H62" s="1">
        <f>SUM(OSRRefH22_5x_0)</f>
        <v>15</v>
      </c>
      <c r="I62" s="1"/>
      <c r="J62" s="5">
        <f t="shared" si="29"/>
        <v>2.3669386016126741E-4</v>
      </c>
      <c r="K62" s="1"/>
      <c r="L62" s="1">
        <f t="shared" si="30"/>
        <v>-15</v>
      </c>
      <c r="M62" s="1"/>
      <c r="N62" s="5">
        <f t="shared" si="31"/>
        <v>-1</v>
      </c>
      <c r="O62" s="14"/>
      <c r="P62" s="1">
        <f>SUM(OSRRefP22_5x_0)</f>
        <v>122.13</v>
      </c>
      <c r="Q62" s="1"/>
      <c r="R62" s="5">
        <f t="shared" si="32"/>
        <v>1.2634358378804816E-4</v>
      </c>
      <c r="S62" s="1"/>
      <c r="T62" s="1">
        <f>SUM(OSRRefT22_5x_0)</f>
        <v>90</v>
      </c>
      <c r="U62" s="1"/>
      <c r="V62" s="5">
        <f t="shared" si="33"/>
        <v>7.5787048498658565E-5</v>
      </c>
      <c r="W62" s="1"/>
      <c r="X62" s="1">
        <f t="shared" si="34"/>
        <v>32.129999999999995</v>
      </c>
      <c r="Y62" s="1"/>
      <c r="Z62" s="5">
        <f t="shared" si="35"/>
        <v>0.35699999999999993</v>
      </c>
    </row>
    <row r="63" spans="1:26" s="24" customFormat="1" hidden="1" outlineLevel="2" x14ac:dyDescent="0.3">
      <c r="A63" s="29"/>
      <c r="B63" s="11" t="str">
        <f>CONCATENATE("          ", "6305", " - ", "FREIGHT OUT")</f>
        <v xml:space="preserve">          6305 - FREIGHT OUT</v>
      </c>
      <c r="C63" s="11"/>
      <c r="D63" s="6"/>
      <c r="E63" s="2"/>
      <c r="F63" s="7">
        <f t="shared" si="28"/>
        <v>0</v>
      </c>
      <c r="G63" s="2"/>
      <c r="H63" s="6">
        <v>15</v>
      </c>
      <c r="I63" s="2"/>
      <c r="J63" s="7">
        <f t="shared" si="29"/>
        <v>2.3669386016126741E-4</v>
      </c>
      <c r="K63" s="2"/>
      <c r="L63" s="6">
        <f t="shared" si="30"/>
        <v>-15</v>
      </c>
      <c r="M63" s="2"/>
      <c r="N63" s="7">
        <f t="shared" si="31"/>
        <v>-1</v>
      </c>
      <c r="O63" s="11"/>
      <c r="P63" s="6">
        <v>122.13</v>
      </c>
      <c r="Q63" s="2"/>
      <c r="R63" s="7">
        <f t="shared" si="32"/>
        <v>1.2634358378804816E-4</v>
      </c>
      <c r="S63" s="2"/>
      <c r="T63" s="6">
        <v>90</v>
      </c>
      <c r="U63" s="2"/>
      <c r="V63" s="7">
        <f t="shared" si="33"/>
        <v>7.5787048498658565E-5</v>
      </c>
      <c r="W63" s="2"/>
      <c r="X63" s="6">
        <f t="shared" si="34"/>
        <v>32.129999999999995</v>
      </c>
      <c r="Y63" s="2"/>
      <c r="Z63" s="7">
        <f t="shared" si="35"/>
        <v>0.35699999999999993</v>
      </c>
    </row>
    <row r="64" spans="1:26" s="28" customFormat="1" outlineLevel="1" collapsed="1" x14ac:dyDescent="0.3">
      <c r="A64" s="27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30</v>
      </c>
      <c r="I64" s="1"/>
      <c r="J64" s="5">
        <f t="shared" si="29"/>
        <v>4.7338772032253483E-4</v>
      </c>
      <c r="K64" s="1"/>
      <c r="L64" s="1">
        <f t="shared" si="30"/>
        <v>-30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180</v>
      </c>
      <c r="U64" s="1"/>
      <c r="V64" s="5">
        <f t="shared" si="33"/>
        <v>1.5157409699731713E-4</v>
      </c>
      <c r="W64" s="1"/>
      <c r="X64" s="1">
        <f t="shared" si="34"/>
        <v>-180</v>
      </c>
      <c r="Y64" s="1"/>
      <c r="Z64" s="5">
        <f t="shared" si="35"/>
        <v>-1</v>
      </c>
    </row>
    <row r="65" spans="1:26" s="24" customFormat="1" hidden="1" outlineLevel="2" x14ac:dyDescent="0.3">
      <c r="A65" s="29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30</v>
      </c>
      <c r="I65" s="2"/>
      <c r="J65" s="7">
        <f t="shared" si="29"/>
        <v>4.7338772032253483E-4</v>
      </c>
      <c r="K65" s="2"/>
      <c r="L65" s="6">
        <f t="shared" si="30"/>
        <v>-30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180</v>
      </c>
      <c r="U65" s="2"/>
      <c r="V65" s="7">
        <f t="shared" si="33"/>
        <v>1.5157409699731713E-4</v>
      </c>
      <c r="W65" s="2"/>
      <c r="X65" s="6">
        <f t="shared" si="34"/>
        <v>-180</v>
      </c>
      <c r="Y65" s="2"/>
      <c r="Z65" s="7">
        <f t="shared" si="35"/>
        <v>-1</v>
      </c>
    </row>
    <row r="66" spans="1:26" s="28" customFormat="1" outlineLevel="1" collapsed="1" x14ac:dyDescent="0.3">
      <c r="A66" s="27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340</v>
      </c>
      <c r="E66" s="1"/>
      <c r="F66" s="5">
        <f t="shared" si="28"/>
        <v>2.5460091942382614E-3</v>
      </c>
      <c r="G66" s="1"/>
      <c r="H66" s="1">
        <f>SUM(OSRRefH22_7x_0)</f>
        <v>340</v>
      </c>
      <c r="I66" s="1"/>
      <c r="J66" s="5">
        <f t="shared" si="29"/>
        <v>5.3650608303220616E-3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5640</v>
      </c>
      <c r="Q66" s="1"/>
      <c r="R66" s="5">
        <f t="shared" si="32"/>
        <v>5.8345845620616692E-3</v>
      </c>
      <c r="S66" s="1"/>
      <c r="T66" s="1">
        <f>SUM(OSRRefT22_7x_0)</f>
        <v>6350</v>
      </c>
      <c r="U66" s="1"/>
      <c r="V66" s="5">
        <f t="shared" si="33"/>
        <v>5.347197310738688E-3</v>
      </c>
      <c r="W66" s="1"/>
      <c r="X66" s="1">
        <f t="shared" si="34"/>
        <v>-710</v>
      </c>
      <c r="Y66" s="1"/>
      <c r="Z66" s="5">
        <f t="shared" si="35"/>
        <v>-0.11181102362204724</v>
      </c>
    </row>
    <row r="67" spans="1:26" s="24" customFormat="1" hidden="1" outlineLevel="2" x14ac:dyDescent="0.3">
      <c r="A67" s="29"/>
      <c r="B67" s="11" t="str">
        <f>CONCATENATE("          ", "6408", " - ", "INVENTORY ADJUSTMENT")</f>
        <v xml:space="preserve">          6408 - INVENTORY ADJUSTMENT</v>
      </c>
      <c r="C67" s="11"/>
      <c r="D67" s="6">
        <v>340</v>
      </c>
      <c r="E67" s="2"/>
      <c r="F67" s="7">
        <f t="shared" si="28"/>
        <v>2.5460091942382614E-3</v>
      </c>
      <c r="G67" s="2"/>
      <c r="H67" s="6">
        <v>340</v>
      </c>
      <c r="I67" s="2"/>
      <c r="J67" s="7">
        <f t="shared" si="29"/>
        <v>5.3650608303220616E-3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5640</v>
      </c>
      <c r="Q67" s="2"/>
      <c r="R67" s="7">
        <f t="shared" si="32"/>
        <v>5.8345845620616692E-3</v>
      </c>
      <c r="S67" s="2"/>
      <c r="T67" s="6">
        <v>6350</v>
      </c>
      <c r="U67" s="2"/>
      <c r="V67" s="7">
        <f t="shared" si="33"/>
        <v>5.347197310738688E-3</v>
      </c>
      <c r="W67" s="2"/>
      <c r="X67" s="6">
        <f t="shared" si="34"/>
        <v>-710</v>
      </c>
      <c r="Y67" s="2"/>
      <c r="Z67" s="7">
        <f t="shared" si="35"/>
        <v>-0.11181102362204724</v>
      </c>
    </row>
    <row r="68" spans="1:26" s="28" customFormat="1" outlineLevel="1" collapsed="1" x14ac:dyDescent="0.3">
      <c r="A68" s="27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SUM(OSRRefD22_8x_0)</f>
        <v>31.35</v>
      </c>
      <c r="E68" s="1"/>
      <c r="F68" s="5">
        <f t="shared" si="28"/>
        <v>2.3475702423343973E-4</v>
      </c>
      <c r="G68" s="1"/>
      <c r="H68" s="1">
        <f>SUM(OSRRefH22_8x_0)</f>
        <v>310</v>
      </c>
      <c r="I68" s="1"/>
      <c r="J68" s="5">
        <f t="shared" si="29"/>
        <v>4.8916731099995269E-3</v>
      </c>
      <c r="K68" s="1"/>
      <c r="L68" s="1">
        <f t="shared" si="30"/>
        <v>-278.64999999999998</v>
      </c>
      <c r="M68" s="1"/>
      <c r="N68" s="5">
        <f t="shared" si="31"/>
        <v>-0.89887096774193542</v>
      </c>
      <c r="O68" s="14"/>
      <c r="P68" s="1">
        <f>SUM(OSRRefP22_8x_0)</f>
        <v>3307.46</v>
      </c>
      <c r="Q68" s="1"/>
      <c r="R68" s="5">
        <f t="shared" si="32"/>
        <v>3.4215700453256183E-3</v>
      </c>
      <c r="S68" s="1"/>
      <c r="T68" s="1">
        <f>SUM(OSRRefT22_8x_0)</f>
        <v>1860</v>
      </c>
      <c r="U68" s="1"/>
      <c r="V68" s="5">
        <f t="shared" si="33"/>
        <v>1.5662656689722772E-3</v>
      </c>
      <c r="W68" s="1"/>
      <c r="X68" s="1">
        <f t="shared" si="34"/>
        <v>1447.46</v>
      </c>
      <c r="Y68" s="1"/>
      <c r="Z68" s="5">
        <f t="shared" si="35"/>
        <v>0.77820430107526883</v>
      </c>
    </row>
    <row r="69" spans="1:26" s="24" customFormat="1" hidden="1" outlineLevel="2" x14ac:dyDescent="0.3">
      <c r="A69" s="29"/>
      <c r="B69" s="11" t="str">
        <f>CONCATENATE("          ", "6241", " - ", "OFFICE EXPENSE")</f>
        <v xml:space="preserve">          6241 - OFFICE EXPENSE</v>
      </c>
      <c r="C69" s="11"/>
      <c r="D69" s="6">
        <v>31.35</v>
      </c>
      <c r="E69" s="2"/>
      <c r="F69" s="7">
        <f t="shared" si="28"/>
        <v>2.3475702423343973E-4</v>
      </c>
      <c r="G69" s="2"/>
      <c r="H69" s="6">
        <v>110</v>
      </c>
      <c r="I69" s="2"/>
      <c r="J69" s="7">
        <f t="shared" si="29"/>
        <v>1.7357549745159611E-3</v>
      </c>
      <c r="K69" s="2"/>
      <c r="L69" s="6">
        <f t="shared" si="30"/>
        <v>-78.650000000000006</v>
      </c>
      <c r="M69" s="2"/>
      <c r="N69" s="7">
        <f t="shared" si="31"/>
        <v>-0.71500000000000008</v>
      </c>
      <c r="O69" s="11"/>
      <c r="P69" s="6">
        <v>395.46</v>
      </c>
      <c r="Q69" s="2"/>
      <c r="R69" s="7">
        <f t="shared" si="32"/>
        <v>4.0910368987817506E-4</v>
      </c>
      <c r="S69" s="2"/>
      <c r="T69" s="6">
        <v>660</v>
      </c>
      <c r="U69" s="2"/>
      <c r="V69" s="7">
        <f t="shared" si="33"/>
        <v>5.5577168899016282E-4</v>
      </c>
      <c r="W69" s="2"/>
      <c r="X69" s="6">
        <f t="shared" si="34"/>
        <v>-264.54000000000002</v>
      </c>
      <c r="Y69" s="2"/>
      <c r="Z69" s="7">
        <f t="shared" si="35"/>
        <v>-0.40081818181818185</v>
      </c>
    </row>
    <row r="70" spans="1:26" s="24" customFormat="1" hidden="1" outlineLevel="2" x14ac:dyDescent="0.3">
      <c r="A70" s="29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28"/>
        <v>0</v>
      </c>
      <c r="G70" s="2"/>
      <c r="H70" s="6">
        <v>200</v>
      </c>
      <c r="I70" s="2"/>
      <c r="J70" s="7">
        <f t="shared" si="29"/>
        <v>3.1559181354835655E-3</v>
      </c>
      <c r="K70" s="2"/>
      <c r="L70" s="6">
        <f t="shared" si="30"/>
        <v>-200</v>
      </c>
      <c r="M70" s="2"/>
      <c r="N70" s="7">
        <f t="shared" si="31"/>
        <v>-1</v>
      </c>
      <c r="O70" s="11"/>
      <c r="P70" s="6">
        <v>2912</v>
      </c>
      <c r="Q70" s="2"/>
      <c r="R70" s="7">
        <f t="shared" si="32"/>
        <v>3.0124663554474433E-3</v>
      </c>
      <c r="S70" s="2"/>
      <c r="T70" s="6">
        <v>1200</v>
      </c>
      <c r="U70" s="2"/>
      <c r="V70" s="7">
        <f t="shared" si="33"/>
        <v>1.0104939799821142E-3</v>
      </c>
      <c r="W70" s="2"/>
      <c r="X70" s="6">
        <f t="shared" si="34"/>
        <v>1712</v>
      </c>
      <c r="Y70" s="2"/>
      <c r="Z70" s="7">
        <f t="shared" si="35"/>
        <v>1.4266666666666667</v>
      </c>
    </row>
    <row r="71" spans="1:26" s="28" customFormat="1" outlineLevel="1" collapsed="1" x14ac:dyDescent="0.3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SUM(OSRRefD22_9x_0)</f>
        <v>206.95</v>
      </c>
      <c r="E71" s="1"/>
      <c r="F71" s="5">
        <f t="shared" ref="F71:F72" si="36">IF(D$12=0,0,D71/D$12)</f>
        <v>1.5496958904341418E-3</v>
      </c>
      <c r="G71" s="1"/>
      <c r="H71" s="1">
        <f>SUM(OSRRefH22_9x_0)</f>
        <v>325</v>
      </c>
      <c r="I71" s="1"/>
      <c r="J71" s="5">
        <f t="shared" ref="J71:J72" si="37">IF(H$12=0,0,H71/H$12)</f>
        <v>5.1283669701607942E-3</v>
      </c>
      <c r="K71" s="1"/>
      <c r="L71" s="1">
        <f t="shared" ref="L71:L72" si="38">+D71-H71</f>
        <v>-118.05000000000001</v>
      </c>
      <c r="M71" s="1"/>
      <c r="N71" s="5">
        <f t="shared" ref="N71:N72" si="39">IF(H71=0,0,L71/H71)</f>
        <v>-0.36323076923076925</v>
      </c>
      <c r="O71" s="14"/>
      <c r="P71" s="1">
        <f>SUM(OSRRefP22_9x_0)</f>
        <v>1262.3499999999999</v>
      </c>
      <c r="Q71" s="1"/>
      <c r="R71" s="5">
        <f t="shared" ref="R71:R72" si="40">IF(P$12=0,0,P71/P$12)</f>
        <v>1.3059020960848487E-3</v>
      </c>
      <c r="S71" s="1"/>
      <c r="T71" s="1">
        <f>SUM(OSRRefT22_9x_0)</f>
        <v>1950</v>
      </c>
      <c r="U71" s="1"/>
      <c r="V71" s="5">
        <f t="shared" ref="V71:V72" si="41">IF(T$12=0,0,T71/T$12)</f>
        <v>1.6420527174709357E-3</v>
      </c>
      <c r="W71" s="1"/>
      <c r="X71" s="1">
        <f t="shared" ref="X71:X72" si="42">+P71-T71</f>
        <v>-687.65000000000009</v>
      </c>
      <c r="Y71" s="1"/>
      <c r="Z71" s="5">
        <f t="shared" ref="Z71:Z72" si="43">IF(T71=0,0,X71/T71)</f>
        <v>-0.35264102564102567</v>
      </c>
    </row>
    <row r="72" spans="1:26" s="24" customFormat="1" hidden="1" outlineLevel="2" x14ac:dyDescent="0.3">
      <c r="A72" s="29"/>
      <c r="B72" s="11" t="str">
        <f>CONCATENATE("          ", "6309", " - ", "TELEPHONE")</f>
        <v xml:space="preserve">          6309 - TELEPHONE</v>
      </c>
      <c r="C72" s="11"/>
      <c r="D72" s="6">
        <v>206.95</v>
      </c>
      <c r="E72" s="2"/>
      <c r="F72" s="7">
        <f t="shared" si="36"/>
        <v>1.5496958904341418E-3</v>
      </c>
      <c r="G72" s="2"/>
      <c r="H72" s="6">
        <v>325</v>
      </c>
      <c r="I72" s="2"/>
      <c r="J72" s="7">
        <f t="shared" si="37"/>
        <v>5.1283669701607942E-3</v>
      </c>
      <c r="K72" s="2"/>
      <c r="L72" s="6">
        <f t="shared" si="38"/>
        <v>-118.05000000000001</v>
      </c>
      <c r="M72" s="2"/>
      <c r="N72" s="7">
        <f t="shared" si="39"/>
        <v>-0.36323076923076925</v>
      </c>
      <c r="O72" s="11"/>
      <c r="P72" s="6">
        <v>1262.3499999999999</v>
      </c>
      <c r="Q72" s="2"/>
      <c r="R72" s="7">
        <f t="shared" si="40"/>
        <v>1.3059020960848487E-3</v>
      </c>
      <c r="S72" s="2"/>
      <c r="T72" s="6">
        <v>1950</v>
      </c>
      <c r="U72" s="2"/>
      <c r="V72" s="7">
        <f t="shared" si="41"/>
        <v>1.6420527174709357E-3</v>
      </c>
      <c r="W72" s="2"/>
      <c r="X72" s="6">
        <f t="shared" si="42"/>
        <v>-687.65000000000009</v>
      </c>
      <c r="Y72" s="2"/>
      <c r="Z72" s="7">
        <f t="shared" si="43"/>
        <v>-0.35264102564102567</v>
      </c>
    </row>
    <row r="73" spans="1:26" s="55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5" t="s">
        <v>293</v>
      </c>
      <c r="C74" s="10"/>
      <c r="D74" s="4">
        <f>SUM(OSRRefD25x_0)</f>
        <v>879.62</v>
      </c>
      <c r="E74" s="4"/>
      <c r="F74" s="12">
        <f t="shared" ref="F74:F77" si="44">IF(D$12=0,0,D74/D$12)</f>
        <v>6.5868253159878229E-3</v>
      </c>
      <c r="G74" s="4"/>
      <c r="H74" s="4">
        <f>SUM(OSRRefH25x_0)</f>
        <v>605</v>
      </c>
      <c r="I74" s="4"/>
      <c r="J74" s="12">
        <f t="shared" ref="J74:J77" si="45">IF(H$12=0,0,H74/H$12)</f>
        <v>9.5466523598377855E-3</v>
      </c>
      <c r="K74" s="4"/>
      <c r="L74" s="4">
        <f t="shared" ref="L74:L77" si="46">+D74-H74</f>
        <v>274.62</v>
      </c>
      <c r="M74" s="4"/>
      <c r="N74" s="12">
        <f t="shared" ref="N74:N77" si="47">IF(H74=0,0,L74/H74)</f>
        <v>0.45391735537190081</v>
      </c>
      <c r="O74" s="10"/>
      <c r="P74" s="4">
        <f>SUM(OSRRefP25x_0)</f>
        <v>2598.0299999999997</v>
      </c>
      <c r="Q74" s="4"/>
      <c r="R74" s="12">
        <f t="shared" ref="R74:R77" si="48">IF(P$12=0,0,P74/P$12)</f>
        <v>2.6876641364845877E-3</v>
      </c>
      <c r="S74" s="4"/>
      <c r="T74" s="4">
        <f>SUM(OSRRefT25x_0)</f>
        <v>11334</v>
      </c>
      <c r="U74" s="4"/>
      <c r="V74" s="12">
        <f t="shared" ref="V74:V77" si="49">IF(T$12=0,0,T74/T$12)</f>
        <v>9.5441156409310692E-3</v>
      </c>
      <c r="W74" s="4"/>
      <c r="X74" s="4">
        <f t="shared" ref="X74:X77" si="50">+P74-T74</f>
        <v>-8735.9700000000012</v>
      </c>
      <c r="Y74" s="4"/>
      <c r="Z74" s="12">
        <f t="shared" ref="Z74:Z77" si="51">IF(T74=0,0,X74/T74)</f>
        <v>-0.77077554261514036</v>
      </c>
    </row>
    <row r="75" spans="1:26" s="24" customFormat="1" hidden="1" outlineLevel="1" x14ac:dyDescent="0.3">
      <c r="A75" s="44"/>
      <c r="B75" s="11" t="str">
        <f>CONCATENATE("          ", "4187", " - ", "NON-TAXABLE SALES-COMPUTER REP")</f>
        <v xml:space="preserve">          4187 - NON-TAXABLE SALES-COMPUTER REP</v>
      </c>
      <c r="C75" s="11"/>
      <c r="D75" s="2">
        <f>0</f>
        <v>0</v>
      </c>
      <c r="E75" s="2"/>
      <c r="F75" s="19">
        <f t="shared" si="44"/>
        <v>0</v>
      </c>
      <c r="G75" s="2"/>
      <c r="H75" s="2"/>
      <c r="I75" s="2"/>
      <c r="J75" s="19">
        <f t="shared" si="45"/>
        <v>0</v>
      </c>
      <c r="K75" s="2"/>
      <c r="L75" s="2">
        <f t="shared" si="46"/>
        <v>0</v>
      </c>
      <c r="M75" s="2"/>
      <c r="N75" s="19">
        <f t="shared" si="47"/>
        <v>0</v>
      </c>
      <c r="O75" s="11"/>
      <c r="P75" s="2">
        <f>0</f>
        <v>0</v>
      </c>
      <c r="Q75" s="2"/>
      <c r="R75" s="19">
        <f t="shared" si="48"/>
        <v>0</v>
      </c>
      <c r="S75" s="2"/>
      <c r="T75" s="2"/>
      <c r="U75" s="2"/>
      <c r="V75" s="19">
        <f t="shared" si="49"/>
        <v>0</v>
      </c>
      <c r="W75" s="2"/>
      <c r="X75" s="2">
        <f t="shared" si="50"/>
        <v>0</v>
      </c>
      <c r="Y75" s="2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"9087", " - ", "")</f>
        <v xml:space="preserve">          9087 - </v>
      </c>
      <c r="C76" s="11"/>
      <c r="D76" s="2">
        <f>--730.08</f>
        <v>730.08</v>
      </c>
      <c r="E76" s="2"/>
      <c r="F76" s="19">
        <f t="shared" si="44"/>
        <v>5.4670305662631478E-3</v>
      </c>
      <c r="G76" s="2"/>
      <c r="H76" s="2"/>
      <c r="I76" s="2"/>
      <c r="J76" s="19">
        <f t="shared" si="45"/>
        <v>0</v>
      </c>
      <c r="K76" s="2"/>
      <c r="L76" s="2">
        <f t="shared" si="46"/>
        <v>730.08</v>
      </c>
      <c r="M76" s="2"/>
      <c r="N76" s="19">
        <f t="shared" si="47"/>
        <v>0</v>
      </c>
      <c r="O76" s="11"/>
      <c r="P76" s="2">
        <f>--337.7</f>
        <v>337.7</v>
      </c>
      <c r="Q76" s="2"/>
      <c r="R76" s="19">
        <f t="shared" si="48"/>
        <v>3.4935092315748677E-4</v>
      </c>
      <c r="S76" s="2"/>
      <c r="T76" s="2"/>
      <c r="U76" s="2"/>
      <c r="V76" s="19">
        <f t="shared" si="49"/>
        <v>0</v>
      </c>
      <c r="W76" s="2"/>
      <c r="X76" s="2">
        <f t="shared" si="50"/>
        <v>337.7</v>
      </c>
      <c r="Y76" s="2"/>
      <c r="Z76" s="19">
        <f t="shared" si="51"/>
        <v>0</v>
      </c>
    </row>
    <row r="77" spans="1:26" s="24" customFormat="1" hidden="1" outlineLevel="1" x14ac:dyDescent="0.3">
      <c r="A77" s="44"/>
      <c r="B77" s="11" t="str">
        <f>CONCATENATE("          ", "9150", " - ", "MISC. INCOME")</f>
        <v xml:space="preserve">          9150 - MISC. INCOME</v>
      </c>
      <c r="C77" s="11"/>
      <c r="D77" s="2">
        <f>--149.54</f>
        <v>149.54</v>
      </c>
      <c r="E77" s="2"/>
      <c r="F77" s="19">
        <f t="shared" si="44"/>
        <v>1.1197947497246753E-3</v>
      </c>
      <c r="G77" s="2"/>
      <c r="H77" s="2">
        <v>605</v>
      </c>
      <c r="I77" s="2"/>
      <c r="J77" s="19">
        <f t="shared" si="45"/>
        <v>9.5466523598377855E-3</v>
      </c>
      <c r="K77" s="2"/>
      <c r="L77" s="2">
        <f t="shared" si="46"/>
        <v>-455.46000000000004</v>
      </c>
      <c r="M77" s="2"/>
      <c r="N77" s="19">
        <f t="shared" si="47"/>
        <v>-0.75282644628099182</v>
      </c>
      <c r="O77" s="11"/>
      <c r="P77" s="2">
        <f>--2260.33</f>
        <v>2260.33</v>
      </c>
      <c r="Q77" s="2"/>
      <c r="R77" s="19">
        <f t="shared" si="48"/>
        <v>2.3383132133271015E-3</v>
      </c>
      <c r="S77" s="2"/>
      <c r="T77" s="2">
        <v>11334</v>
      </c>
      <c r="U77" s="2"/>
      <c r="V77" s="19">
        <f t="shared" si="49"/>
        <v>9.5441156409310692E-3</v>
      </c>
      <c r="W77" s="2"/>
      <c r="X77" s="2">
        <f t="shared" si="50"/>
        <v>-9073.67</v>
      </c>
      <c r="Y77" s="2"/>
      <c r="Z77" s="19">
        <f t="shared" si="51"/>
        <v>-0.80057084877360152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10"/>
      <c r="B79" s="26" t="s">
        <v>277</v>
      </c>
      <c r="C79" s="26"/>
      <c r="D79" s="20">
        <f>+D31-D33+D74</f>
        <v>1962.4199999999864</v>
      </c>
      <c r="E79" s="13"/>
      <c r="F79" s="22">
        <f>IF(D$12=0,0,D79/D$12)</f>
        <v>1.4695115773402984E-2</v>
      </c>
      <c r="G79" s="13"/>
      <c r="H79" s="20">
        <f>+H31-H33+H74</f>
        <v>-6192.3205848699999</v>
      </c>
      <c r="I79" s="13"/>
      <c r="J79" s="22">
        <f>IF(H$12=0,0,H79/H$12)</f>
        <v>-9.7712284172597155E-2</v>
      </c>
      <c r="K79" s="16"/>
      <c r="L79" s="20">
        <f>+D79-H79</f>
        <v>8154.7405848699864</v>
      </c>
      <c r="M79" s="16"/>
      <c r="N79" s="22">
        <f>IF(H79=0,0,L79/H79)</f>
        <v>-1.3169118867642065</v>
      </c>
      <c r="O79" s="25"/>
      <c r="P79" s="20">
        <f>+P31-P33+P74</f>
        <v>62347.050000000032</v>
      </c>
      <c r="Q79" s="13"/>
      <c r="R79" s="22">
        <f>IF(P$12=0,0,P79/P$12)</f>
        <v>6.4498073656043819E-2</v>
      </c>
      <c r="S79" s="13"/>
      <c r="T79" s="20">
        <f>+T31-T33+T74</f>
        <v>41671.181018345</v>
      </c>
      <c r="U79" s="13"/>
      <c r="V79" s="22">
        <f>IF(T$12=0,0,T79/T$12)</f>
        <v>3.5090397964818811E-2</v>
      </c>
      <c r="W79" s="16"/>
      <c r="X79" s="20">
        <f>+P79-T79</f>
        <v>20675.868981655032</v>
      </c>
      <c r="Y79" s="16"/>
      <c r="Z79" s="22">
        <f>IF(T79=0,0,X79/T79)</f>
        <v>0.49616709861313618</v>
      </c>
    </row>
    <row r="80" spans="1:26" x14ac:dyDescent="0.3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52"/>
      <c r="B81" s="10" t="s">
        <v>128</v>
      </c>
      <c r="C81" s="10"/>
      <c r="D81" s="4">
        <v>17123.53</v>
      </c>
      <c r="E81" s="4"/>
      <c r="F81" s="12">
        <f>IF(D$12=0,0,D81/D$12)</f>
        <v>0.12822548475827852</v>
      </c>
      <c r="G81" s="4"/>
      <c r="H81" s="4">
        <v>13217</v>
      </c>
      <c r="I81" s="4"/>
      <c r="J81" s="12">
        <f>IF(H$12=0,0,H81/H$12)</f>
        <v>0.20855884998343144</v>
      </c>
      <c r="K81" s="4"/>
      <c r="L81" s="4">
        <f>+D81-H81</f>
        <v>3906.5299999999988</v>
      </c>
      <c r="M81" s="4"/>
      <c r="N81" s="12">
        <f>IF(H81=0,0,L81/H81)</f>
        <v>0.29556858591208285</v>
      </c>
      <c r="O81" s="10"/>
      <c r="P81" s="4">
        <v>116356.41</v>
      </c>
      <c r="Q81" s="4"/>
      <c r="R81" s="12">
        <f>IF(P$12=0,0,P81/P$12)</f>
        <v>0.12037080026292872</v>
      </c>
      <c r="S81" s="4"/>
      <c r="T81" s="4">
        <v>153753</v>
      </c>
      <c r="U81" s="4"/>
      <c r="V81" s="12">
        <f>IF(T$12=0,0,T81/T$12)</f>
        <v>0.12947206742015835</v>
      </c>
      <c r="W81" s="4"/>
      <c r="X81" s="4">
        <f>+P81-T81</f>
        <v>-37396.589999999997</v>
      </c>
      <c r="Y81" s="4"/>
      <c r="Z81" s="12">
        <f>IF(T81=0,0,X81/T81)</f>
        <v>-0.24322510780277456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126</v>
      </c>
      <c r="C83" s="26"/>
      <c r="D83" s="31">
        <f>+D79-D81</f>
        <v>-15161.110000000011</v>
      </c>
      <c r="E83" s="13"/>
      <c r="F83" s="30">
        <f>IF(D$12=0,0,D83/D$12)</f>
        <v>-0.11353036898487553</v>
      </c>
      <c r="G83" s="13"/>
      <c r="H83" s="31">
        <f>+H79-H81</f>
        <v>-19409.320584870002</v>
      </c>
      <c r="I83" s="13"/>
      <c r="J83" s="30">
        <f>IF(H$12=0,0,H83/H$12)</f>
        <v>-0.30627113415602863</v>
      </c>
      <c r="K83" s="16"/>
      <c r="L83" s="31">
        <f>D83-H83</f>
        <v>4248.2105848699903</v>
      </c>
      <c r="M83" s="16"/>
      <c r="N83" s="30">
        <f>IF(H83=0,0,L83/H83)</f>
        <v>-0.21887477030914546</v>
      </c>
      <c r="O83" s="25"/>
      <c r="P83" s="31">
        <f>+P79-P81</f>
        <v>-54009.359999999971</v>
      </c>
      <c r="Q83" s="13"/>
      <c r="R83" s="30">
        <f>IF(P$12=0,0,P83/P$12)</f>
        <v>-5.5872726606884901E-2</v>
      </c>
      <c r="S83" s="13"/>
      <c r="T83" s="31">
        <f>+T79-T81</f>
        <v>-112081.818981655</v>
      </c>
      <c r="U83" s="13"/>
      <c r="V83" s="30">
        <f>IF(T$12=0,0,T83/T$12)</f>
        <v>-9.4381669455339531E-2</v>
      </c>
      <c r="W83" s="16"/>
      <c r="X83" s="31">
        <f>P83-T83</f>
        <v>58072.458981655029</v>
      </c>
      <c r="Y83" s="16"/>
      <c r="Z83" s="30">
        <f>IF(T83=0,0,X83/T83)</f>
        <v>-0.51812559351093368</v>
      </c>
    </row>
    <row r="84" spans="1:26" ht="15" thickTop="1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6" t="s">
        <v>294</v>
      </c>
      <c r="C86" s="26"/>
      <c r="D86" s="35">
        <f>SUM(D83:D85)</f>
        <v>-15161.110000000011</v>
      </c>
      <c r="E86" s="13"/>
      <c r="F86" s="34">
        <f>IF(D$12=0,0,D86/D$12)</f>
        <v>-0.11353036898487553</v>
      </c>
      <c r="G86" s="13"/>
      <c r="H86" s="35">
        <f>SUM(H83:H85)</f>
        <v>-19409.320584870002</v>
      </c>
      <c r="I86" s="13"/>
      <c r="J86" s="34">
        <f>IF(H$12=0,0,H86/H$12)</f>
        <v>-0.30627113415602863</v>
      </c>
      <c r="K86" s="16"/>
      <c r="L86" s="35">
        <f>+D86-H86</f>
        <v>4248.2105848699903</v>
      </c>
      <c r="M86" s="16"/>
      <c r="N86" s="34">
        <f>IF(H86=0,0,L86/H86)</f>
        <v>-0.21887477030914546</v>
      </c>
      <c r="O86" s="25"/>
      <c r="P86" s="35">
        <f>SUM(P83:P85)</f>
        <v>-54009.359999999971</v>
      </c>
      <c r="Q86" s="13"/>
      <c r="R86" s="34">
        <f>IF(P$12=0,0,P86/P$12)</f>
        <v>-5.5872726606884901E-2</v>
      </c>
      <c r="S86" s="13"/>
      <c r="T86" s="35">
        <f>SUM(T83:T85)</f>
        <v>-112081.818981655</v>
      </c>
      <c r="U86" s="13"/>
      <c r="V86" s="34">
        <f>IF(T$12=0,0,T86/T$12)</f>
        <v>-9.4381669455339531E-2</v>
      </c>
      <c r="W86" s="16"/>
      <c r="X86" s="35">
        <f>+P86-T86</f>
        <v>58072.458981655029</v>
      </c>
      <c r="Y86" s="16"/>
      <c r="Z86" s="34">
        <f>IF(T86=0,0,X86/T86)</f>
        <v>-0.51812559351093368</v>
      </c>
    </row>
    <row r="87" spans="1:26" ht="15" thickTop="1" x14ac:dyDescent="0.3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">
      <c r="A88" s="9"/>
      <c r="B88" s="61">
        <v>44575.842125659721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">
      <c r="A89" s="9"/>
      <c r="B89" s="62" t="s">
        <v>56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">
      <c r="A90" s="9"/>
      <c r="B90" s="53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3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199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12478.220000000001</v>
      </c>
      <c r="E12" s="4"/>
      <c r="F12" s="12"/>
      <c r="G12" s="4"/>
      <c r="H12" s="4">
        <f>SUM(OSRRefH13x_0)</f>
        <v>22928</v>
      </c>
      <c r="I12" s="4"/>
      <c r="J12" s="12"/>
      <c r="K12" s="4"/>
      <c r="L12" s="4">
        <f t="shared" ref="L12:L16" si="0">+D12-H12</f>
        <v>-10449.779999999999</v>
      </c>
      <c r="M12" s="4"/>
      <c r="N12" s="12">
        <f t="shared" ref="N12:N16" si="1">IF(H12=0,0,L12/H12)</f>
        <v>-0.45576500348918347</v>
      </c>
      <c r="O12" s="10"/>
      <c r="P12" s="4">
        <f>SUM(OSRRefP13x_0)</f>
        <v>76407.5</v>
      </c>
      <c r="Q12" s="4"/>
      <c r="R12" s="12"/>
      <c r="S12" s="4"/>
      <c r="T12" s="4">
        <f>SUM(OSRRefT13x_0)</f>
        <v>153573</v>
      </c>
      <c r="U12" s="4"/>
      <c r="V12" s="12"/>
      <c r="W12" s="4"/>
      <c r="X12" s="4">
        <f t="shared" ref="X12:X16" si="2">+P12-T12</f>
        <v>-77165.5</v>
      </c>
      <c r="Y12" s="4"/>
      <c r="Z12" s="12">
        <f t="shared" ref="Z12:Z16" si="3">IF(T12=0,0,X12/T12)</f>
        <v>-0.50246788172400092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--2128.3</f>
        <v>2128.3000000000002</v>
      </c>
      <c r="E13" s="2"/>
      <c r="F13" s="19"/>
      <c r="G13" s="2"/>
      <c r="H13" s="2">
        <v>4520</v>
      </c>
      <c r="I13" s="2"/>
      <c r="J13" s="19"/>
      <c r="K13" s="2"/>
      <c r="L13" s="2">
        <f t="shared" si="0"/>
        <v>-2391.6999999999998</v>
      </c>
      <c r="M13" s="2"/>
      <c r="N13" s="19">
        <f t="shared" si="1"/>
        <v>-0.52913716814159284</v>
      </c>
      <c r="O13" s="11"/>
      <c r="P13" s="2">
        <f>--12750.65</f>
        <v>12750.65</v>
      </c>
      <c r="Q13" s="2"/>
      <c r="R13" s="19"/>
      <c r="S13" s="2"/>
      <c r="T13" s="2">
        <v>30056</v>
      </c>
      <c r="U13" s="2"/>
      <c r="V13" s="19"/>
      <c r="W13" s="2"/>
      <c r="X13" s="2">
        <f t="shared" si="2"/>
        <v>-17305.349999999999</v>
      </c>
      <c r="Y13" s="2"/>
      <c r="Z13" s="19">
        <f t="shared" si="3"/>
        <v>-0.57577022890604201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--70.75</f>
        <v>70.75</v>
      </c>
      <c r="E14" s="2"/>
      <c r="F14" s="19"/>
      <c r="G14" s="2"/>
      <c r="H14" s="2"/>
      <c r="I14" s="2"/>
      <c r="J14" s="19"/>
      <c r="K14" s="2"/>
      <c r="L14" s="2">
        <f t="shared" si="0"/>
        <v>70.75</v>
      </c>
      <c r="M14" s="2"/>
      <c r="N14" s="19">
        <f t="shared" si="1"/>
        <v>0</v>
      </c>
      <c r="O14" s="11"/>
      <c r="P14" s="2">
        <f>--698.72</f>
        <v>698.72</v>
      </c>
      <c r="Q14" s="2"/>
      <c r="R14" s="19"/>
      <c r="S14" s="2"/>
      <c r="T14" s="2"/>
      <c r="U14" s="2"/>
      <c r="V14" s="19"/>
      <c r="W14" s="2"/>
      <c r="X14" s="2">
        <f t="shared" si="2"/>
        <v>698.72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--10279.17</f>
        <v>10279.17</v>
      </c>
      <c r="E15" s="2"/>
      <c r="F15" s="19"/>
      <c r="G15" s="2"/>
      <c r="H15" s="2">
        <v>18408</v>
      </c>
      <c r="I15" s="2"/>
      <c r="J15" s="19"/>
      <c r="K15" s="2"/>
      <c r="L15" s="2">
        <f t="shared" si="0"/>
        <v>-8128.83</v>
      </c>
      <c r="M15" s="2"/>
      <c r="N15" s="19">
        <f t="shared" si="1"/>
        <v>-0.44159224250325946</v>
      </c>
      <c r="O15" s="11"/>
      <c r="P15" s="2">
        <f>--62958.13</f>
        <v>62958.13</v>
      </c>
      <c r="Q15" s="2"/>
      <c r="R15" s="19"/>
      <c r="S15" s="2"/>
      <c r="T15" s="2">
        <v>123517</v>
      </c>
      <c r="U15" s="2"/>
      <c r="V15" s="19"/>
      <c r="W15" s="2"/>
      <c r="X15" s="2">
        <f t="shared" si="2"/>
        <v>-60558.87</v>
      </c>
      <c r="Y15" s="2"/>
      <c r="Z15" s="19">
        <f t="shared" si="3"/>
        <v>-0.49028773367228806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7724.2900000000009</v>
      </c>
      <c r="E18" s="4"/>
      <c r="F18" s="12">
        <f t="shared" ref="F18:F21" si="4">IF(D$12=0,0,D18/D$12)</f>
        <v>0.61902178355566739</v>
      </c>
      <c r="G18" s="4"/>
      <c r="H18" s="4">
        <f>SUM(OSRRefH16x_0)</f>
        <v>11236</v>
      </c>
      <c r="I18" s="4"/>
      <c r="J18" s="12">
        <f t="shared" ref="J18:J21" si="5">IF(H$12=0,0,H18/H$12)</f>
        <v>0.49005582693649685</v>
      </c>
      <c r="K18" s="4"/>
      <c r="L18" s="4">
        <f t="shared" ref="L18:L21" si="6">+D18-H18</f>
        <v>-3511.7099999999991</v>
      </c>
      <c r="M18" s="4"/>
      <c r="N18" s="12">
        <f t="shared" ref="N18:N21" si="7">IF(H18=0,0,L18/H18)</f>
        <v>-0.31254093983624059</v>
      </c>
      <c r="O18" s="10"/>
      <c r="P18" s="4">
        <f>SUM(OSRRefP16x_0)</f>
        <v>46457.310000000005</v>
      </c>
      <c r="Q18" s="4"/>
      <c r="R18" s="12">
        <f t="shared" ref="R18:R21" si="8">IF(P$12=0,0,P18/P$12)</f>
        <v>0.60802028596669178</v>
      </c>
      <c r="S18" s="4"/>
      <c r="T18" s="4">
        <f>SUM(OSRRefT16x_0)</f>
        <v>75254</v>
      </c>
      <c r="U18" s="4"/>
      <c r="V18" s="12">
        <f t="shared" ref="V18:V21" si="9">IF(T$12=0,0,T18/T$12)</f>
        <v>0.49002103234292488</v>
      </c>
      <c r="W18" s="4"/>
      <c r="X18" s="4">
        <f t="shared" ref="X18:X21" si="10">+P18-T18</f>
        <v>-28796.689999999995</v>
      </c>
      <c r="Y18" s="4"/>
      <c r="Z18" s="12">
        <f t="shared" ref="Z18:Z21" si="11">IF(T18=0,0,X18/T18)</f>
        <v>-0.38265992505381768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11236</v>
      </c>
      <c r="I19" s="2"/>
      <c r="J19" s="19">
        <f t="shared" si="5"/>
        <v>0.49005582693649685</v>
      </c>
      <c r="K19" s="2"/>
      <c r="L19" s="2">
        <f t="shared" si="6"/>
        <v>-11236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75254</v>
      </c>
      <c r="U19" s="2"/>
      <c r="V19" s="19">
        <f t="shared" si="9"/>
        <v>0.49002103234292488</v>
      </c>
      <c r="W19" s="2"/>
      <c r="X19" s="2">
        <f t="shared" si="10"/>
        <v>-75254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1757.73</v>
      </c>
      <c r="E20" s="2"/>
      <c r="F20" s="19">
        <f t="shared" si="4"/>
        <v>0.14086384115683165</v>
      </c>
      <c r="G20" s="2"/>
      <c r="H20" s="2"/>
      <c r="I20" s="2"/>
      <c r="J20" s="19">
        <f t="shared" si="5"/>
        <v>0</v>
      </c>
      <c r="K20" s="2"/>
      <c r="L20" s="2">
        <f t="shared" si="6"/>
        <v>1757.73</v>
      </c>
      <c r="M20" s="2"/>
      <c r="N20" s="19">
        <f t="shared" si="7"/>
        <v>0</v>
      </c>
      <c r="O20" s="11"/>
      <c r="P20" s="2">
        <v>41699.19</v>
      </c>
      <c r="Q20" s="2"/>
      <c r="R20" s="19">
        <f t="shared" si="8"/>
        <v>0.54574734155678439</v>
      </c>
      <c r="S20" s="2"/>
      <c r="T20" s="2"/>
      <c r="U20" s="2"/>
      <c r="V20" s="19">
        <f t="shared" si="9"/>
        <v>0</v>
      </c>
      <c r="W20" s="2"/>
      <c r="X20" s="2">
        <f t="shared" si="10"/>
        <v>41699.19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5966.56</v>
      </c>
      <c r="E21" s="2"/>
      <c r="F21" s="19">
        <f t="shared" si="4"/>
        <v>0.47815794239883574</v>
      </c>
      <c r="G21" s="2"/>
      <c r="H21" s="2"/>
      <c r="I21" s="2"/>
      <c r="J21" s="19">
        <f t="shared" si="5"/>
        <v>0</v>
      </c>
      <c r="K21" s="2"/>
      <c r="L21" s="2">
        <f t="shared" si="6"/>
        <v>5966.56</v>
      </c>
      <c r="M21" s="2"/>
      <c r="N21" s="19">
        <f t="shared" si="7"/>
        <v>0</v>
      </c>
      <c r="O21" s="11"/>
      <c r="P21" s="2">
        <v>4758.12</v>
      </c>
      <c r="Q21" s="2"/>
      <c r="R21" s="19">
        <f t="shared" si="8"/>
        <v>6.2272944409907403E-2</v>
      </c>
      <c r="S21" s="2"/>
      <c r="T21" s="2"/>
      <c r="U21" s="2"/>
      <c r="V21" s="19">
        <f t="shared" si="9"/>
        <v>0</v>
      </c>
      <c r="W21" s="2"/>
      <c r="X21" s="2">
        <f t="shared" si="10"/>
        <v>4758.12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4753.93</v>
      </c>
      <c r="E23" s="13"/>
      <c r="F23" s="22">
        <f>IF(D$12=0,0,D23/D$12)</f>
        <v>0.38097821644433261</v>
      </c>
      <c r="G23" s="13"/>
      <c r="H23" s="20">
        <f>H12-H18</f>
        <v>11692</v>
      </c>
      <c r="I23" s="13"/>
      <c r="J23" s="22">
        <f>IF(H$12=0,0,H23/H$12)</f>
        <v>0.50994417306350315</v>
      </c>
      <c r="K23" s="16"/>
      <c r="L23" s="20">
        <f>+D23-H23</f>
        <v>-6938.07</v>
      </c>
      <c r="M23" s="16"/>
      <c r="N23" s="22">
        <f>IF(H23=0,0,L23/H23)</f>
        <v>-0.59340318166267536</v>
      </c>
      <c r="O23" s="25"/>
      <c r="P23" s="20">
        <f>P12-P18</f>
        <v>29950.189999999995</v>
      </c>
      <c r="Q23" s="13"/>
      <c r="R23" s="22">
        <f>IF(P$12=0,0,P23/P$12)</f>
        <v>0.39197971403330817</v>
      </c>
      <c r="S23" s="13"/>
      <c r="T23" s="20">
        <f>T12-T18</f>
        <v>78319</v>
      </c>
      <c r="U23" s="13"/>
      <c r="V23" s="22">
        <f>IF(T$12=0,0,T23/T$12)</f>
        <v>0.50997896765707518</v>
      </c>
      <c r="W23" s="16"/>
      <c r="X23" s="20">
        <f>+P23-T23</f>
        <v>-48368.810000000005</v>
      </c>
      <c r="Y23" s="16"/>
      <c r="Z23" s="22">
        <f>IF(T23=0,0,X23/T23)</f>
        <v>-0.61758717552573461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21756.42</v>
      </c>
      <c r="E25" s="21"/>
      <c r="F25" s="32">
        <f t="shared" ref="F25:F35" si="12">IF(D$12=0,0,D25/D$12)</f>
        <v>1.743551564245541</v>
      </c>
      <c r="G25" s="21"/>
      <c r="H25" s="21">
        <f>SUM(OSRRefH22x_0)</f>
        <v>32055.506037307689</v>
      </c>
      <c r="I25" s="21"/>
      <c r="J25" s="32">
        <f t="shared" ref="J25:J35" si="13">IF(H$12=0,0,H25/H$12)</f>
        <v>1.398094296812094</v>
      </c>
      <c r="K25" s="4"/>
      <c r="L25" s="21">
        <f t="shared" ref="L25:L35" si="14">+D25-H25</f>
        <v>-10299.08603730769</v>
      </c>
      <c r="M25" s="4"/>
      <c r="N25" s="32">
        <f t="shared" ref="N25:N35" si="15">IF(H25=0,0,L25/H25)</f>
        <v>-0.32128914219357935</v>
      </c>
      <c r="O25" s="10"/>
      <c r="P25" s="21">
        <f>SUM(OSRRefP22x_0)</f>
        <v>117853.35000000002</v>
      </c>
      <c r="Q25" s="21"/>
      <c r="R25" s="32">
        <f t="shared" ref="R25:R35" si="16">IF(P$12=0,0,P25/P$12)</f>
        <v>1.5424316984589213</v>
      </c>
      <c r="S25" s="21"/>
      <c r="T25" s="21">
        <f>SUM(OSRRefT22x_0)</f>
        <v>207672.66243</v>
      </c>
      <c r="U25" s="21"/>
      <c r="V25" s="32">
        <f t="shared" ref="V25:V35" si="17">IF(T$12=0,0,T25/T$12)</f>
        <v>1.352273266980524</v>
      </c>
      <c r="W25" s="4"/>
      <c r="X25" s="21">
        <f t="shared" ref="X25:X35" si="18">+P25-T25</f>
        <v>-89819.312429999976</v>
      </c>
      <c r="Y25" s="4"/>
      <c r="Z25" s="32">
        <f t="shared" ref="Z25:Z35" si="19">IF(T25=0,0,X25/T25)</f>
        <v>-0.43250426598770686</v>
      </c>
    </row>
    <row r="26" spans="1:26" s="28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1171.79</v>
      </c>
      <c r="E26" s="1"/>
      <c r="F26" s="5">
        <f t="shared" si="12"/>
        <v>9.390682324882875E-2</v>
      </c>
      <c r="G26" s="1"/>
      <c r="H26" s="1">
        <f>SUM(OSRRefH22_0x_0)</f>
        <v>4131.3318065384601</v>
      </c>
      <c r="I26" s="1"/>
      <c r="J26" s="5">
        <f t="shared" si="13"/>
        <v>0.18018718625865579</v>
      </c>
      <c r="K26" s="1"/>
      <c r="L26" s="1">
        <f t="shared" si="14"/>
        <v>-2959.5418065384602</v>
      </c>
      <c r="M26" s="1"/>
      <c r="N26" s="5">
        <f t="shared" si="15"/>
        <v>-0.71636507187695153</v>
      </c>
      <c r="O26" s="14"/>
      <c r="P26" s="1">
        <f>SUM(OSRRefP22_0x_0)</f>
        <v>2751.22</v>
      </c>
      <c r="Q26" s="1"/>
      <c r="R26" s="5">
        <f t="shared" si="16"/>
        <v>3.6007198246245459E-2</v>
      </c>
      <c r="S26" s="1"/>
      <c r="T26" s="1">
        <f>SUM(OSRRefT22_0x_0)</f>
        <v>26232.032429999999</v>
      </c>
      <c r="U26" s="1"/>
      <c r="V26" s="5">
        <f t="shared" si="17"/>
        <v>0.17081148658943954</v>
      </c>
      <c r="W26" s="1"/>
      <c r="X26" s="1">
        <f t="shared" si="18"/>
        <v>-23480.812429999998</v>
      </c>
      <c r="Y26" s="1"/>
      <c r="Z26" s="5">
        <f t="shared" si="19"/>
        <v>-0.89511983078926072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6">
        <v>445.21</v>
      </c>
      <c r="E27" s="2"/>
      <c r="F27" s="7">
        <f t="shared" si="12"/>
        <v>3.5678967032156825E-2</v>
      </c>
      <c r="G27" s="2"/>
      <c r="H27" s="6">
        <v>509.65742192307698</v>
      </c>
      <c r="I27" s="2"/>
      <c r="J27" s="7">
        <f t="shared" si="13"/>
        <v>2.2228603538166303E-2</v>
      </c>
      <c r="K27" s="2"/>
      <c r="L27" s="6">
        <f t="shared" si="14"/>
        <v>-64.447421923077002</v>
      </c>
      <c r="M27" s="2"/>
      <c r="N27" s="7">
        <f t="shared" si="15"/>
        <v>-0.12645243481376026</v>
      </c>
      <c r="O27" s="11"/>
      <c r="P27" s="6">
        <v>1346.33</v>
      </c>
      <c r="Q27" s="2"/>
      <c r="R27" s="7">
        <f t="shared" si="16"/>
        <v>1.7620390668455322E-2</v>
      </c>
      <c r="S27" s="2"/>
      <c r="T27" s="6">
        <v>3583.9764300000002</v>
      </c>
      <c r="U27" s="2"/>
      <c r="V27" s="7">
        <f t="shared" si="17"/>
        <v>2.3337282139438573E-2</v>
      </c>
      <c r="W27" s="2"/>
      <c r="X27" s="6">
        <f t="shared" si="18"/>
        <v>-2237.6464300000002</v>
      </c>
      <c r="Y27" s="2"/>
      <c r="Z27" s="7">
        <f t="shared" si="19"/>
        <v>-0.62434741793209847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107.83</v>
      </c>
      <c r="E28" s="2"/>
      <c r="F28" s="7">
        <f t="shared" si="12"/>
        <v>8.6414568744580551E-3</v>
      </c>
      <c r="G28" s="2"/>
      <c r="H28" s="6">
        <v>499.657565384615</v>
      </c>
      <c r="I28" s="2"/>
      <c r="J28" s="7">
        <f t="shared" si="13"/>
        <v>2.1792461853830034E-2</v>
      </c>
      <c r="K28" s="2"/>
      <c r="L28" s="6">
        <f t="shared" si="14"/>
        <v>-391.82756538461501</v>
      </c>
      <c r="M28" s="2"/>
      <c r="N28" s="7">
        <f t="shared" si="15"/>
        <v>-0.78419219987793631</v>
      </c>
      <c r="O28" s="11"/>
      <c r="P28" s="6">
        <v>417.62</v>
      </c>
      <c r="Q28" s="2"/>
      <c r="R28" s="7">
        <f t="shared" si="16"/>
        <v>5.4656938127801589E-3</v>
      </c>
      <c r="S28" s="2"/>
      <c r="T28" s="6">
        <v>3299.5740000000001</v>
      </c>
      <c r="U28" s="2"/>
      <c r="V28" s="7">
        <f t="shared" si="17"/>
        <v>2.1485378289152389E-2</v>
      </c>
      <c r="W28" s="2"/>
      <c r="X28" s="6">
        <f t="shared" si="18"/>
        <v>-2881.9540000000002</v>
      </c>
      <c r="Y28" s="2"/>
      <c r="Z28" s="7">
        <f t="shared" si="19"/>
        <v>-0.87343214608916186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6">
        <v>33.81</v>
      </c>
      <c r="E29" s="2"/>
      <c r="F29" s="7">
        <f t="shared" si="12"/>
        <v>2.7095210695115167E-3</v>
      </c>
      <c r="G29" s="2"/>
      <c r="H29" s="6">
        <v>1977</v>
      </c>
      <c r="I29" s="2"/>
      <c r="J29" s="7">
        <f t="shared" si="13"/>
        <v>8.6226448011165385E-2</v>
      </c>
      <c r="K29" s="2"/>
      <c r="L29" s="6">
        <f t="shared" si="14"/>
        <v>-1943.19</v>
      </c>
      <c r="M29" s="2"/>
      <c r="N29" s="7">
        <f t="shared" si="15"/>
        <v>-0.98289833080424893</v>
      </c>
      <c r="O29" s="11"/>
      <c r="P29" s="6">
        <v>33.81</v>
      </c>
      <c r="Q29" s="2"/>
      <c r="R29" s="7">
        <f t="shared" si="16"/>
        <v>4.4249582828910776E-4</v>
      </c>
      <c r="S29" s="2"/>
      <c r="T29" s="6">
        <v>11862</v>
      </c>
      <c r="U29" s="2"/>
      <c r="V29" s="7">
        <f t="shared" si="17"/>
        <v>7.7240139868336236E-2</v>
      </c>
      <c r="W29" s="2"/>
      <c r="X29" s="6">
        <f t="shared" si="18"/>
        <v>-11828.19</v>
      </c>
      <c r="Y29" s="2"/>
      <c r="Z29" s="7">
        <f t="shared" si="19"/>
        <v>-0.99714972180070816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18.95</v>
      </c>
      <c r="E30" s="2"/>
      <c r="F30" s="7">
        <f t="shared" si="12"/>
        <v>1.5186460889453782E-3</v>
      </c>
      <c r="G30" s="2"/>
      <c r="H30" s="6">
        <v>27.685511538461501</v>
      </c>
      <c r="I30" s="2"/>
      <c r="J30" s="7">
        <f t="shared" si="13"/>
        <v>1.2074978863599747E-3</v>
      </c>
      <c r="K30" s="2"/>
      <c r="L30" s="6">
        <f t="shared" si="14"/>
        <v>-8.7355115384615019</v>
      </c>
      <c r="M30" s="2"/>
      <c r="N30" s="7">
        <f t="shared" si="15"/>
        <v>-0.31552646323062805</v>
      </c>
      <c r="O30" s="11"/>
      <c r="P30" s="6">
        <v>69.98</v>
      </c>
      <c r="Q30" s="2"/>
      <c r="R30" s="7">
        <f t="shared" si="16"/>
        <v>9.1587867683146291E-4</v>
      </c>
      <c r="S30" s="2"/>
      <c r="T30" s="6">
        <v>182.82599999999999</v>
      </c>
      <c r="U30" s="2"/>
      <c r="V30" s="7">
        <f t="shared" si="17"/>
        <v>1.1904827020374675E-3</v>
      </c>
      <c r="W30" s="2"/>
      <c r="X30" s="6">
        <f t="shared" si="18"/>
        <v>-112.84599999999999</v>
      </c>
      <c r="Y30" s="2"/>
      <c r="Z30" s="7">
        <f t="shared" si="19"/>
        <v>-0.61723168477131263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397.928615384615</v>
      </c>
      <c r="I31" s="2"/>
      <c r="J31" s="7">
        <f t="shared" si="13"/>
        <v>1.7355574641687674E-2</v>
      </c>
      <c r="K31" s="2"/>
      <c r="L31" s="6">
        <f t="shared" si="14"/>
        <v>-397.928615384615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2586.5360000000001</v>
      </c>
      <c r="U31" s="2"/>
      <c r="V31" s="7">
        <f t="shared" si="17"/>
        <v>1.6842387659289068E-2</v>
      </c>
      <c r="W31" s="2"/>
      <c r="X31" s="6">
        <f t="shared" si="18"/>
        <v>-2586.5360000000001</v>
      </c>
      <c r="Y31" s="2"/>
      <c r="Z31" s="7">
        <f t="shared" si="19"/>
        <v>-1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"6118", " - ", "VACATION")</f>
        <v xml:space="preserve">          6118 - VACATION</v>
      </c>
      <c r="C33" s="11"/>
      <c r="D33" s="6">
        <v>163.24</v>
      </c>
      <c r="E33" s="2"/>
      <c r="F33" s="7">
        <f t="shared" si="12"/>
        <v>1.3081994066461402E-2</v>
      </c>
      <c r="G33" s="2"/>
      <c r="H33" s="6">
        <v>231.35384615384601</v>
      </c>
      <c r="I33" s="2"/>
      <c r="J33" s="7">
        <f t="shared" si="13"/>
        <v>1.0090450373074232E-2</v>
      </c>
      <c r="K33" s="2"/>
      <c r="L33" s="6">
        <f t="shared" si="14"/>
        <v>-68.113846153845998</v>
      </c>
      <c r="M33" s="2"/>
      <c r="N33" s="7">
        <f t="shared" si="15"/>
        <v>-0.29441415081792743</v>
      </c>
      <c r="O33" s="11"/>
      <c r="P33" s="6">
        <v>244.86</v>
      </c>
      <c r="Q33" s="2"/>
      <c r="R33" s="7">
        <f t="shared" si="16"/>
        <v>3.2046592284788798E-3</v>
      </c>
      <c r="S33" s="2"/>
      <c r="T33" s="6">
        <v>1503.8</v>
      </c>
      <c r="U33" s="2"/>
      <c r="V33" s="7">
        <f t="shared" si="17"/>
        <v>9.792085848423877E-3</v>
      </c>
      <c r="W33" s="2"/>
      <c r="X33" s="6">
        <f t="shared" si="18"/>
        <v>-1258.94</v>
      </c>
      <c r="Y33" s="2"/>
      <c r="Z33" s="7">
        <f t="shared" si="19"/>
        <v>-0.83717249634259883</v>
      </c>
    </row>
    <row r="34" spans="1:26" s="24" customFormat="1" hidden="1" outlineLevel="2" x14ac:dyDescent="0.3">
      <c r="A34" s="29"/>
      <c r="B34" s="11" t="str">
        <f>CONCATENATE("          ", "6119", " - ", "SICK LEAVE")</f>
        <v xml:space="preserve">          6119 - SICK LEAVE</v>
      </c>
      <c r="C34" s="11"/>
      <c r="D34" s="6">
        <v>195.58</v>
      </c>
      <c r="E34" s="2"/>
      <c r="F34" s="7">
        <f t="shared" si="12"/>
        <v>1.5673709872081113E-2</v>
      </c>
      <c r="G34" s="2"/>
      <c r="H34" s="6">
        <v>488.048846153846</v>
      </c>
      <c r="I34" s="2"/>
      <c r="J34" s="7">
        <f t="shared" si="13"/>
        <v>2.1286149954372207E-2</v>
      </c>
      <c r="K34" s="2"/>
      <c r="L34" s="6">
        <f t="shared" si="14"/>
        <v>-292.46884615384602</v>
      </c>
      <c r="M34" s="2"/>
      <c r="N34" s="7">
        <f t="shared" si="15"/>
        <v>-0.59926142323396059</v>
      </c>
      <c r="O34" s="11"/>
      <c r="P34" s="6">
        <v>293.37</v>
      </c>
      <c r="Q34" s="2"/>
      <c r="R34" s="7">
        <f t="shared" si="16"/>
        <v>3.8395445473284693E-3</v>
      </c>
      <c r="S34" s="2"/>
      <c r="T34" s="6">
        <v>3213.32</v>
      </c>
      <c r="U34" s="2"/>
      <c r="V34" s="7">
        <f t="shared" si="17"/>
        <v>2.0923730082761945E-2</v>
      </c>
      <c r="W34" s="2"/>
      <c r="X34" s="6">
        <f t="shared" si="18"/>
        <v>-2919.9500000000003</v>
      </c>
      <c r="Y34" s="2"/>
      <c r="Z34" s="7">
        <f t="shared" si="19"/>
        <v>-0.90870190332739975</v>
      </c>
    </row>
    <row r="35" spans="1:26" s="24" customFormat="1" hidden="1" outlineLevel="2" x14ac:dyDescent="0.3">
      <c r="A35" s="29"/>
      <c r="B35" s="11" t="str">
        <f>CONCATENATE("          ", "6156", " - ", "EMPLOYEE MEALS")</f>
        <v xml:space="preserve">          6156 - EMPLOYEE MEALS</v>
      </c>
      <c r="C35" s="11"/>
      <c r="D35" s="6">
        <v>207.17</v>
      </c>
      <c r="E35" s="2"/>
      <c r="F35" s="7">
        <f t="shared" si="12"/>
        <v>1.6602528245214458E-2</v>
      </c>
      <c r="G35" s="2"/>
      <c r="H35" s="6"/>
      <c r="I35" s="2"/>
      <c r="J35" s="7">
        <f t="shared" si="13"/>
        <v>0</v>
      </c>
      <c r="K35" s="2"/>
      <c r="L35" s="6">
        <f t="shared" si="14"/>
        <v>207.17</v>
      </c>
      <c r="M35" s="2"/>
      <c r="N35" s="7">
        <f t="shared" si="15"/>
        <v>0</v>
      </c>
      <c r="O35" s="11"/>
      <c r="P35" s="6">
        <v>345.25</v>
      </c>
      <c r="Q35" s="2"/>
      <c r="R35" s="7">
        <f t="shared" si="16"/>
        <v>4.5185354840820598E-3</v>
      </c>
      <c r="S35" s="2"/>
      <c r="T35" s="6"/>
      <c r="U35" s="2"/>
      <c r="V35" s="7">
        <f t="shared" si="17"/>
        <v>0</v>
      </c>
      <c r="W35" s="2"/>
      <c r="X35" s="6">
        <f t="shared" si="18"/>
        <v>345.25</v>
      </c>
      <c r="Y35" s="2"/>
      <c r="Z35" s="7">
        <f t="shared" si="19"/>
        <v>0</v>
      </c>
    </row>
    <row r="36" spans="1:26" s="28" customFormat="1" outlineLevel="1" collapsed="1" x14ac:dyDescent="0.3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7011.78</v>
      </c>
      <c r="E36" s="1"/>
      <c r="F36" s="5">
        <f t="shared" ref="F36:F46" si="20">IF(D$12=0,0,D36/D$12)</f>
        <v>0.56192149200767405</v>
      </c>
      <c r="G36" s="1"/>
      <c r="H36" s="1">
        <f>SUM(OSRRefH22_1x_0)</f>
        <v>12464.174230769229</v>
      </c>
      <c r="I36" s="1"/>
      <c r="J36" s="5">
        <f t="shared" ref="J36:J46" si="21">IF(H$12=0,0,H36/H$12)</f>
        <v>0.5436223931773041</v>
      </c>
      <c r="K36" s="1"/>
      <c r="L36" s="1">
        <f t="shared" ref="L36:L46" si="22">+D36-H36</f>
        <v>-5452.3942307692296</v>
      </c>
      <c r="M36" s="1"/>
      <c r="N36" s="5">
        <f t="shared" ref="N36:N46" si="23">IF(H36=0,0,L36/H36)</f>
        <v>-0.43744528356394241</v>
      </c>
      <c r="O36" s="14"/>
      <c r="P36" s="1">
        <f>SUM(OSRRefP22_1x_0)</f>
        <v>25569.800000000003</v>
      </c>
      <c r="Q36" s="1"/>
      <c r="R36" s="5">
        <f t="shared" ref="R36:R46" si="24">IF(P$12=0,0,P36/P$12)</f>
        <v>0.33465039426757848</v>
      </c>
      <c r="S36" s="1"/>
      <c r="T36" s="1">
        <f>SUM(OSRRefT22_1x_0)</f>
        <v>82342.880000000005</v>
      </c>
      <c r="U36" s="1"/>
      <c r="V36" s="5">
        <f t="shared" ref="V36:V46" si="25">IF(T$12=0,0,T36/T$12)</f>
        <v>0.53618070884856062</v>
      </c>
      <c r="W36" s="1"/>
      <c r="X36" s="1">
        <f t="shared" ref="X36:X46" si="26">+P36-T36</f>
        <v>-56773.08</v>
      </c>
      <c r="Y36" s="1"/>
      <c r="Z36" s="5">
        <f t="shared" ref="Z36:Z46" si="27">IF(T36=0,0,X36/T36)</f>
        <v>-0.68947163373445275</v>
      </c>
    </row>
    <row r="37" spans="1:26" s="24" customFormat="1" hidden="1" outlineLevel="2" x14ac:dyDescent="0.3">
      <c r="A37" s="29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9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0"/>
        <v>0</v>
      </c>
      <c r="G38" s="2"/>
      <c r="H38" s="6">
        <v>4164.3692307692299</v>
      </c>
      <c r="I38" s="2"/>
      <c r="J38" s="7">
        <f t="shared" si="21"/>
        <v>0.18162810671533627</v>
      </c>
      <c r="K38" s="2"/>
      <c r="L38" s="6">
        <f t="shared" si="22"/>
        <v>-4164.3692307692299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27068.400000000001</v>
      </c>
      <c r="U38" s="2"/>
      <c r="V38" s="7">
        <f t="shared" si="25"/>
        <v>0.17625754527162979</v>
      </c>
      <c r="W38" s="2"/>
      <c r="X38" s="6">
        <f t="shared" si="26"/>
        <v>-27068.400000000001</v>
      </c>
      <c r="Y38" s="2"/>
      <c r="Z38" s="7">
        <f t="shared" si="27"/>
        <v>-1</v>
      </c>
    </row>
    <row r="39" spans="1:26" s="24" customFormat="1" hidden="1" outlineLevel="2" x14ac:dyDescent="0.3">
      <c r="A39" s="29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"6004", " - ", "STAFF HOURLY")</f>
        <v xml:space="preserve">          6004 - STAFF HOURLY</v>
      </c>
      <c r="C40" s="11"/>
      <c r="D40" s="6">
        <v>3071.88</v>
      </c>
      <c r="E40" s="2"/>
      <c r="F40" s="7">
        <f t="shared" si="20"/>
        <v>0.24617934288704638</v>
      </c>
      <c r="G40" s="2"/>
      <c r="H40" s="6">
        <v>1971.5250000000001</v>
      </c>
      <c r="I40" s="2"/>
      <c r="J40" s="7">
        <f t="shared" si="21"/>
        <v>8.5987657013258903E-2</v>
      </c>
      <c r="K40" s="2"/>
      <c r="L40" s="6">
        <f t="shared" si="22"/>
        <v>1100.355</v>
      </c>
      <c r="M40" s="2"/>
      <c r="N40" s="7">
        <f t="shared" si="23"/>
        <v>0.55812378742344126</v>
      </c>
      <c r="O40" s="11"/>
      <c r="P40" s="6">
        <v>3538.81</v>
      </c>
      <c r="Q40" s="2"/>
      <c r="R40" s="7">
        <f t="shared" si="24"/>
        <v>4.631495599254E-2</v>
      </c>
      <c r="S40" s="2"/>
      <c r="T40" s="6">
        <v>16252.35</v>
      </c>
      <c r="U40" s="2"/>
      <c r="V40" s="7">
        <f t="shared" si="25"/>
        <v>0.10582817292102127</v>
      </c>
      <c r="W40" s="2"/>
      <c r="X40" s="6">
        <f t="shared" si="26"/>
        <v>-12713.54</v>
      </c>
      <c r="Y40" s="2"/>
      <c r="Z40" s="7">
        <f t="shared" si="27"/>
        <v>-0.78225856568434726</v>
      </c>
    </row>
    <row r="41" spans="1:26" s="24" customFormat="1" hidden="1" outlineLevel="2" x14ac:dyDescent="0.3">
      <c r="A41" s="29"/>
      <c r="B41" s="11" t="str">
        <f>CONCATENATE("          ", "6005", " - ", "TEMPORARY WAGES-HOURLY")</f>
        <v xml:space="preserve">          6005 - TEMPORARY WAGES-HOURLY</v>
      </c>
      <c r="C41" s="11"/>
      <c r="D41" s="6">
        <v>2741.1</v>
      </c>
      <c r="E41" s="2"/>
      <c r="F41" s="7">
        <f t="shared" si="20"/>
        <v>0.21967075432233121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2741.1</v>
      </c>
      <c r="M41" s="2"/>
      <c r="N41" s="7">
        <f t="shared" si="23"/>
        <v>0</v>
      </c>
      <c r="O41" s="11"/>
      <c r="P41" s="6">
        <v>13204.95</v>
      </c>
      <c r="Q41" s="2"/>
      <c r="R41" s="7">
        <f t="shared" si="24"/>
        <v>0.17282269410725387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13204.95</v>
      </c>
      <c r="Y41" s="2"/>
      <c r="Z41" s="7">
        <f t="shared" si="27"/>
        <v>0</v>
      </c>
    </row>
    <row r="42" spans="1:26" s="24" customFormat="1" hidden="1" outlineLevel="2" x14ac:dyDescent="0.3">
      <c r="A42" s="29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"6007", " - ", "STUDENT HOURLY")</f>
        <v xml:space="preserve">          6007 - STUDENT HOURLY</v>
      </c>
      <c r="C43" s="11"/>
      <c r="D43" s="6">
        <v>1198.8</v>
      </c>
      <c r="E43" s="2"/>
      <c r="F43" s="7">
        <f t="shared" si="20"/>
        <v>9.6071394798296544E-2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1198.8</v>
      </c>
      <c r="M43" s="2"/>
      <c r="N43" s="7">
        <f t="shared" si="23"/>
        <v>0</v>
      </c>
      <c r="O43" s="11"/>
      <c r="P43" s="6">
        <v>8826.0400000000009</v>
      </c>
      <c r="Q43" s="2"/>
      <c r="R43" s="7">
        <f t="shared" si="24"/>
        <v>0.11551274416778459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8826.0400000000009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6328.28</v>
      </c>
      <c r="I44" s="2"/>
      <c r="J44" s="7">
        <f t="shared" si="21"/>
        <v>0.27600662944870902</v>
      </c>
      <c r="K44" s="2"/>
      <c r="L44" s="6">
        <f t="shared" si="22"/>
        <v>-6328.28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39022.129999999997</v>
      </c>
      <c r="U44" s="2"/>
      <c r="V44" s="7">
        <f t="shared" si="25"/>
        <v>0.25409499065590957</v>
      </c>
      <c r="W44" s="2"/>
      <c r="X44" s="6">
        <f t="shared" si="26"/>
        <v>-39022.129999999997</v>
      </c>
      <c r="Y44" s="2"/>
      <c r="Z44" s="7">
        <f t="shared" si="27"/>
        <v>-1</v>
      </c>
    </row>
    <row r="45" spans="1:26" s="24" customFormat="1" hidden="1" outlineLevel="2" x14ac:dyDescent="0.3">
      <c r="A45" s="29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8" customFormat="1" outlineLevel="1" collapsed="1" x14ac:dyDescent="0.3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0</v>
      </c>
      <c r="M47" s="1"/>
      <c r="N47" s="5">
        <f t="shared" ref="N47:N55" si="31">IF(H47=0,0,L47/H47)</f>
        <v>0</v>
      </c>
      <c r="O47" s="14"/>
      <c r="P47" s="1">
        <f>SUM(OSRRefP22_2x_0)</f>
        <v>91.22</v>
      </c>
      <c r="Q47" s="1"/>
      <c r="R47" s="5">
        <f t="shared" ref="R47:R55" si="32">IF(P$12=0,0,P47/P$12)</f>
        <v>1.1938618591106893E-3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91.22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9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91.22</v>
      </c>
      <c r="Q48" s="2"/>
      <c r="R48" s="7">
        <f t="shared" si="32"/>
        <v>1.1938618591106893E-3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91.22</v>
      </c>
      <c r="Y48" s="2"/>
      <c r="Z48" s="7">
        <f t="shared" si="35"/>
        <v>0</v>
      </c>
    </row>
    <row r="49" spans="1:26" s="28" customFormat="1" outlineLevel="1" collapsed="1" x14ac:dyDescent="0.3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19.600000000000001</v>
      </c>
      <c r="E49" s="1"/>
      <c r="F49" s="5">
        <f t="shared" si="28"/>
        <v>1.5707368518907345E-3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19.600000000000001</v>
      </c>
      <c r="M49" s="1"/>
      <c r="N49" s="5">
        <f t="shared" si="31"/>
        <v>0</v>
      </c>
      <c r="O49" s="14"/>
      <c r="P49" s="1">
        <f>SUM(OSRRefP22_3x_0)</f>
        <v>28.84</v>
      </c>
      <c r="Q49" s="1"/>
      <c r="R49" s="5">
        <f t="shared" si="32"/>
        <v>3.7744985767104017E-4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28.84</v>
      </c>
      <c r="Y49" s="1"/>
      <c r="Z49" s="5">
        <f t="shared" si="35"/>
        <v>0</v>
      </c>
    </row>
    <row r="50" spans="1:26" s="24" customFormat="1" hidden="1" outlineLevel="2" x14ac:dyDescent="0.3">
      <c r="A50" s="29"/>
      <c r="B50" s="11" t="str">
        <f>CONCATENATE("          ", "6272", " - ", "CASH (OVER/SHORT)")</f>
        <v xml:space="preserve">          6272 - CASH (OVER/SHORT)</v>
      </c>
      <c r="C50" s="11"/>
      <c r="D50" s="6">
        <v>19.600000000000001</v>
      </c>
      <c r="E50" s="2"/>
      <c r="F50" s="7">
        <f t="shared" si="28"/>
        <v>1.5707368518907345E-3</v>
      </c>
      <c r="G50" s="2"/>
      <c r="H50" s="6">
        <v>0</v>
      </c>
      <c r="I50" s="2"/>
      <c r="J50" s="7">
        <f t="shared" si="29"/>
        <v>0</v>
      </c>
      <c r="K50" s="2"/>
      <c r="L50" s="6">
        <f t="shared" si="30"/>
        <v>19.600000000000001</v>
      </c>
      <c r="M50" s="2"/>
      <c r="N50" s="7">
        <f t="shared" si="31"/>
        <v>0</v>
      </c>
      <c r="O50" s="11"/>
      <c r="P50" s="6">
        <v>28.84</v>
      </c>
      <c r="Q50" s="2"/>
      <c r="R50" s="7">
        <f t="shared" si="32"/>
        <v>3.7744985767104017E-4</v>
      </c>
      <c r="S50" s="2"/>
      <c r="T50" s="6">
        <v>0</v>
      </c>
      <c r="U50" s="2"/>
      <c r="V50" s="7">
        <f t="shared" si="33"/>
        <v>0</v>
      </c>
      <c r="W50" s="2"/>
      <c r="X50" s="6">
        <f t="shared" si="34"/>
        <v>28.84</v>
      </c>
      <c r="Y50" s="2"/>
      <c r="Z50" s="7">
        <f t="shared" si="35"/>
        <v>0</v>
      </c>
    </row>
    <row r="51" spans="1:26" s="28" customFormat="1" outlineLevel="1" collapsed="1" x14ac:dyDescent="0.3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599.38</v>
      </c>
      <c r="E51" s="1"/>
      <c r="F51" s="5">
        <f t="shared" si="28"/>
        <v>4.8034094606442257E-2</v>
      </c>
      <c r="G51" s="1"/>
      <c r="H51" s="1">
        <f>SUM(OSRRefH22_4x_0)</f>
        <v>1380</v>
      </c>
      <c r="I51" s="1"/>
      <c r="J51" s="5">
        <f t="shared" si="29"/>
        <v>6.0188415910676904E-2</v>
      </c>
      <c r="K51" s="1"/>
      <c r="L51" s="1">
        <f t="shared" si="30"/>
        <v>-780.62</v>
      </c>
      <c r="M51" s="1"/>
      <c r="N51" s="5">
        <f t="shared" si="31"/>
        <v>-0.56566666666666665</v>
      </c>
      <c r="O51" s="14"/>
      <c r="P51" s="1">
        <f>SUM(OSRRefP22_4x_0)</f>
        <v>3969.99</v>
      </c>
      <c r="Q51" s="1"/>
      <c r="R51" s="5">
        <f t="shared" si="32"/>
        <v>5.1958119294571864E-2</v>
      </c>
      <c r="S51" s="1"/>
      <c r="T51" s="1">
        <f>SUM(OSRRefT22_4x_0)</f>
        <v>6884.75</v>
      </c>
      <c r="U51" s="1"/>
      <c r="V51" s="5">
        <f t="shared" si="33"/>
        <v>4.4830471502152074E-2</v>
      </c>
      <c r="W51" s="1"/>
      <c r="X51" s="1">
        <f t="shared" si="34"/>
        <v>-2914.76</v>
      </c>
      <c r="Y51" s="1"/>
      <c r="Z51" s="5">
        <f t="shared" si="35"/>
        <v>-0.42336468281346457</v>
      </c>
    </row>
    <row r="52" spans="1:26" s="24" customFormat="1" hidden="1" outlineLevel="2" x14ac:dyDescent="0.3">
      <c r="A52" s="29"/>
      <c r="B52" s="11" t="str">
        <f>CONCATENATE("          ", "6381", " - ", "BANK/CREDIT CARD FEES")</f>
        <v xml:space="preserve">          6381 - BANK/CREDIT CARD FEES</v>
      </c>
      <c r="C52" s="11"/>
      <c r="D52" s="6">
        <v>599.38</v>
      </c>
      <c r="E52" s="2"/>
      <c r="F52" s="7">
        <f t="shared" si="28"/>
        <v>4.8034094606442257E-2</v>
      </c>
      <c r="G52" s="2"/>
      <c r="H52" s="6">
        <v>1380</v>
      </c>
      <c r="I52" s="2"/>
      <c r="J52" s="7">
        <f t="shared" si="29"/>
        <v>6.0188415910676904E-2</v>
      </c>
      <c r="K52" s="2"/>
      <c r="L52" s="6">
        <f t="shared" si="30"/>
        <v>-780.62</v>
      </c>
      <c r="M52" s="2"/>
      <c r="N52" s="7">
        <f t="shared" si="31"/>
        <v>-0.56566666666666665</v>
      </c>
      <c r="O52" s="11"/>
      <c r="P52" s="6">
        <v>3969.99</v>
      </c>
      <c r="Q52" s="2"/>
      <c r="R52" s="7">
        <f t="shared" si="32"/>
        <v>5.1958119294571864E-2</v>
      </c>
      <c r="S52" s="2"/>
      <c r="T52" s="6">
        <v>6884.75</v>
      </c>
      <c r="U52" s="2"/>
      <c r="V52" s="7">
        <f t="shared" si="33"/>
        <v>4.4830471502152074E-2</v>
      </c>
      <c r="W52" s="2"/>
      <c r="X52" s="6">
        <f t="shared" si="34"/>
        <v>-2914.76</v>
      </c>
      <c r="Y52" s="2"/>
      <c r="Z52" s="7">
        <f t="shared" si="35"/>
        <v>-0.42336468281346457</v>
      </c>
    </row>
    <row r="53" spans="1:26" s="28" customFormat="1" outlineLevel="1" collapsed="1" x14ac:dyDescent="0.3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6324.75</v>
      </c>
      <c r="E53" s="1"/>
      <c r="F53" s="5">
        <f t="shared" si="28"/>
        <v>0.50686315836713891</v>
      </c>
      <c r="G53" s="1"/>
      <c r="H53" s="1">
        <f>SUM(OSRRefH22_5x_0)</f>
        <v>6324</v>
      </c>
      <c r="I53" s="1"/>
      <c r="J53" s="5">
        <f t="shared" si="29"/>
        <v>0.27581995812979765</v>
      </c>
      <c r="K53" s="1"/>
      <c r="L53" s="1">
        <f t="shared" si="30"/>
        <v>0.75</v>
      </c>
      <c r="M53" s="1"/>
      <c r="N53" s="5">
        <f t="shared" si="31"/>
        <v>1.1859582542694497E-4</v>
      </c>
      <c r="O53" s="14"/>
      <c r="P53" s="1">
        <f>SUM(OSRRefP22_5x_0)</f>
        <v>40380.86</v>
      </c>
      <c r="Q53" s="1"/>
      <c r="R53" s="5">
        <f t="shared" si="32"/>
        <v>0.52849340706082515</v>
      </c>
      <c r="S53" s="1"/>
      <c r="T53" s="1">
        <f>SUM(OSRRefT22_5x_0)</f>
        <v>40374</v>
      </c>
      <c r="U53" s="1"/>
      <c r="V53" s="5">
        <f t="shared" si="33"/>
        <v>0.26289777499951161</v>
      </c>
      <c r="W53" s="1"/>
      <c r="X53" s="1">
        <f t="shared" si="34"/>
        <v>6.8600000000005821</v>
      </c>
      <c r="Y53" s="1"/>
      <c r="Z53" s="5">
        <f t="shared" si="35"/>
        <v>1.6991132907318032E-4</v>
      </c>
    </row>
    <row r="54" spans="1:26" s="24" customFormat="1" hidden="1" outlineLevel="2" x14ac:dyDescent="0.3">
      <c r="A54" s="29"/>
      <c r="B54" s="11" t="str">
        <f>CONCATENATE("          ", "6321", " - ", "BUILDING DEPRECIATION")</f>
        <v xml:space="preserve">          6321 - BUILDING DEPRECIATION</v>
      </c>
      <c r="C54" s="11"/>
      <c r="D54" s="6">
        <v>5080.51</v>
      </c>
      <c r="E54" s="2"/>
      <c r="F54" s="7">
        <f t="shared" si="28"/>
        <v>0.40715021854078542</v>
      </c>
      <c r="G54" s="2"/>
      <c r="H54" s="6"/>
      <c r="I54" s="2"/>
      <c r="J54" s="7">
        <f t="shared" si="29"/>
        <v>0</v>
      </c>
      <c r="K54" s="2"/>
      <c r="L54" s="6">
        <f t="shared" si="30"/>
        <v>5080.51</v>
      </c>
      <c r="M54" s="2"/>
      <c r="N54" s="7">
        <f t="shared" si="31"/>
        <v>0</v>
      </c>
      <c r="O54" s="11"/>
      <c r="P54" s="6">
        <v>30483.06</v>
      </c>
      <c r="Q54" s="2"/>
      <c r="R54" s="7">
        <f t="shared" si="32"/>
        <v>0.39895376762752349</v>
      </c>
      <c r="S54" s="2"/>
      <c r="T54" s="6"/>
      <c r="U54" s="2"/>
      <c r="V54" s="7">
        <f t="shared" si="33"/>
        <v>0</v>
      </c>
      <c r="W54" s="2"/>
      <c r="X54" s="6">
        <f t="shared" si="34"/>
        <v>30483.06</v>
      </c>
      <c r="Y54" s="2"/>
      <c r="Z54" s="7">
        <f t="shared" si="35"/>
        <v>0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1244.24</v>
      </c>
      <c r="E55" s="2"/>
      <c r="F55" s="7">
        <f t="shared" si="28"/>
        <v>9.9712939826353431E-2</v>
      </c>
      <c r="G55" s="2"/>
      <c r="H55" s="6">
        <v>6324</v>
      </c>
      <c r="I55" s="2"/>
      <c r="J55" s="7">
        <f t="shared" si="29"/>
        <v>0.27581995812979765</v>
      </c>
      <c r="K55" s="2"/>
      <c r="L55" s="6">
        <f t="shared" si="30"/>
        <v>-5079.76</v>
      </c>
      <c r="M55" s="2"/>
      <c r="N55" s="7">
        <f t="shared" si="31"/>
        <v>-0.80325110689437074</v>
      </c>
      <c r="O55" s="11"/>
      <c r="P55" s="6">
        <v>9897.7999999999993</v>
      </c>
      <c r="Q55" s="2"/>
      <c r="R55" s="7">
        <f t="shared" si="32"/>
        <v>0.12953963943330168</v>
      </c>
      <c r="S55" s="2"/>
      <c r="T55" s="6">
        <v>40374</v>
      </c>
      <c r="U55" s="2"/>
      <c r="V55" s="7">
        <f t="shared" si="33"/>
        <v>0.26289777499951161</v>
      </c>
      <c r="W55" s="2"/>
      <c r="X55" s="6">
        <f t="shared" si="34"/>
        <v>-30476.2</v>
      </c>
      <c r="Y55" s="2"/>
      <c r="Z55" s="7">
        <f t="shared" si="35"/>
        <v>-0.75484717887749542</v>
      </c>
    </row>
    <row r="56" spans="1:26" s="28" customFormat="1" outlineLevel="1" collapsed="1" x14ac:dyDescent="0.3">
      <c r="A56" s="27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69" si="36">IF(D$12=0,0,D56/D$12)</f>
        <v>0</v>
      </c>
      <c r="G56" s="1"/>
      <c r="H56" s="1">
        <f>SUM(OSRRefH22_6x_0)</f>
        <v>50</v>
      </c>
      <c r="I56" s="1"/>
      <c r="J56" s="5">
        <f t="shared" ref="J56:J69" si="37">IF(H$12=0,0,H56/H$12)</f>
        <v>2.1807397069085834E-3</v>
      </c>
      <c r="K56" s="1"/>
      <c r="L56" s="1">
        <f t="shared" ref="L56:L69" si="38">+D56-H56</f>
        <v>-50</v>
      </c>
      <c r="M56" s="1"/>
      <c r="N56" s="5">
        <f t="shared" ref="N56:N69" si="39">IF(H56=0,0,L56/H56)</f>
        <v>-1</v>
      </c>
      <c r="O56" s="14"/>
      <c r="P56" s="1">
        <f>SUM(OSRRefP22_6x_0)</f>
        <v>0</v>
      </c>
      <c r="Q56" s="1"/>
      <c r="R56" s="5">
        <f t="shared" ref="R56:R69" si="40">IF(P$12=0,0,P56/P$12)</f>
        <v>0</v>
      </c>
      <c r="S56" s="1"/>
      <c r="T56" s="1">
        <f>SUM(OSRRefT22_6x_0)</f>
        <v>50</v>
      </c>
      <c r="U56" s="1"/>
      <c r="V56" s="5">
        <f t="shared" ref="V56:V69" si="41">IF(T$12=0,0,T56/T$12)</f>
        <v>3.2557806385236988E-4</v>
      </c>
      <c r="W56" s="1"/>
      <c r="X56" s="1">
        <f t="shared" ref="X56:X69" si="42">+P56-T56</f>
        <v>-50</v>
      </c>
      <c r="Y56" s="1"/>
      <c r="Z56" s="5">
        <f t="shared" ref="Z56:Z69" si="43">IF(T56=0,0,X56/T56)</f>
        <v>-1</v>
      </c>
    </row>
    <row r="57" spans="1:26" s="24" customFormat="1" hidden="1" outlineLevel="2" x14ac:dyDescent="0.3">
      <c r="A57" s="29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>
        <v>50</v>
      </c>
      <c r="I57" s="2"/>
      <c r="J57" s="7">
        <f t="shared" si="37"/>
        <v>2.1807397069085834E-3</v>
      </c>
      <c r="K57" s="2"/>
      <c r="L57" s="6">
        <f t="shared" si="38"/>
        <v>-50</v>
      </c>
      <c r="M57" s="2"/>
      <c r="N57" s="7">
        <f t="shared" si="39"/>
        <v>-1</v>
      </c>
      <c r="O57" s="11"/>
      <c r="P57" s="6"/>
      <c r="Q57" s="2"/>
      <c r="R57" s="7">
        <f t="shared" si="40"/>
        <v>0</v>
      </c>
      <c r="S57" s="2"/>
      <c r="T57" s="6">
        <v>50</v>
      </c>
      <c r="U57" s="2"/>
      <c r="V57" s="7">
        <f t="shared" si="41"/>
        <v>3.2557806385236988E-4</v>
      </c>
      <c r="W57" s="2"/>
      <c r="X57" s="6">
        <f t="shared" si="42"/>
        <v>-50</v>
      </c>
      <c r="Y57" s="2"/>
      <c r="Z57" s="7">
        <f t="shared" si="43"/>
        <v>-1</v>
      </c>
    </row>
    <row r="58" spans="1:26" s="28" customFormat="1" outlineLevel="1" collapsed="1" x14ac:dyDescent="0.3">
      <c r="A58" s="27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30</v>
      </c>
      <c r="E58" s="1"/>
      <c r="F58" s="5">
        <f t="shared" si="36"/>
        <v>2.4041890590164299E-3</v>
      </c>
      <c r="G58" s="1"/>
      <c r="H58" s="1">
        <f>SUM(OSRRefH22_7x_0)</f>
        <v>176</v>
      </c>
      <c r="I58" s="1"/>
      <c r="J58" s="5">
        <f t="shared" si="37"/>
        <v>7.6762037683182132E-3</v>
      </c>
      <c r="K58" s="1"/>
      <c r="L58" s="1">
        <f t="shared" si="38"/>
        <v>-146</v>
      </c>
      <c r="M58" s="1"/>
      <c r="N58" s="5">
        <f t="shared" si="39"/>
        <v>-0.82954545454545459</v>
      </c>
      <c r="O58" s="14"/>
      <c r="P58" s="1">
        <f>SUM(OSRRefP22_7x_0)</f>
        <v>30</v>
      </c>
      <c r="Q58" s="1"/>
      <c r="R58" s="5">
        <f t="shared" si="40"/>
        <v>3.9263161338873802E-4</v>
      </c>
      <c r="S58" s="1"/>
      <c r="T58" s="1">
        <f>SUM(OSRRefT22_7x_0)</f>
        <v>1056</v>
      </c>
      <c r="U58" s="1"/>
      <c r="V58" s="5">
        <f t="shared" si="41"/>
        <v>6.8762087085620519E-3</v>
      </c>
      <c r="W58" s="1"/>
      <c r="X58" s="1">
        <f t="shared" si="42"/>
        <v>-1026</v>
      </c>
      <c r="Y58" s="1"/>
      <c r="Z58" s="5">
        <f t="shared" si="43"/>
        <v>-0.97159090909090906</v>
      </c>
    </row>
    <row r="59" spans="1:26" s="24" customFormat="1" hidden="1" outlineLevel="2" x14ac:dyDescent="0.3">
      <c r="A59" s="29"/>
      <c r="B59" s="11" t="str">
        <f>CONCATENATE("          ", "6351", " - ", "EQUIPMENT RENTAL")</f>
        <v xml:space="preserve">          6351 - EQUIPMENT RENTAL</v>
      </c>
      <c r="C59" s="11"/>
      <c r="D59" s="6">
        <v>30</v>
      </c>
      <c r="E59" s="2"/>
      <c r="F59" s="7">
        <f t="shared" si="36"/>
        <v>2.4041890590164299E-3</v>
      </c>
      <c r="G59" s="2"/>
      <c r="H59" s="6">
        <v>176</v>
      </c>
      <c r="I59" s="2"/>
      <c r="J59" s="7">
        <f t="shared" si="37"/>
        <v>7.6762037683182132E-3</v>
      </c>
      <c r="K59" s="2"/>
      <c r="L59" s="6">
        <f t="shared" si="38"/>
        <v>-146</v>
      </c>
      <c r="M59" s="2"/>
      <c r="N59" s="7">
        <f t="shared" si="39"/>
        <v>-0.82954545454545459</v>
      </c>
      <c r="O59" s="11"/>
      <c r="P59" s="6">
        <v>30</v>
      </c>
      <c r="Q59" s="2"/>
      <c r="R59" s="7">
        <f t="shared" si="40"/>
        <v>3.9263161338873802E-4</v>
      </c>
      <c r="S59" s="2"/>
      <c r="T59" s="6">
        <v>1056</v>
      </c>
      <c r="U59" s="2"/>
      <c r="V59" s="7">
        <f t="shared" si="41"/>
        <v>6.8762087085620519E-3</v>
      </c>
      <c r="W59" s="2"/>
      <c r="X59" s="6">
        <f t="shared" si="42"/>
        <v>-1026</v>
      </c>
      <c r="Y59" s="2"/>
      <c r="Z59" s="7">
        <f t="shared" si="43"/>
        <v>-0.97159090909090906</v>
      </c>
    </row>
    <row r="60" spans="1:26" s="28" customFormat="1" outlineLevel="1" collapsed="1" x14ac:dyDescent="0.3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432.19</v>
      </c>
      <c r="E60" s="1"/>
      <c r="F60" s="5">
        <f t="shared" si="36"/>
        <v>3.4635548980543697E-2</v>
      </c>
      <c r="G60" s="1"/>
      <c r="H60" s="1">
        <f>SUM(OSRRefH22_8x_0)</f>
        <v>910</v>
      </c>
      <c r="I60" s="1"/>
      <c r="J60" s="5">
        <f t="shared" si="37"/>
        <v>3.9689462665736218E-2</v>
      </c>
      <c r="K60" s="1"/>
      <c r="L60" s="1">
        <f t="shared" si="38"/>
        <v>-477.81</v>
      </c>
      <c r="M60" s="1"/>
      <c r="N60" s="5">
        <f t="shared" si="39"/>
        <v>-0.52506593406593405</v>
      </c>
      <c r="O60" s="14"/>
      <c r="P60" s="1">
        <f>SUM(OSRRefP22_8x_0)</f>
        <v>2591.38</v>
      </c>
      <c r="Q60" s="1"/>
      <c r="R60" s="5">
        <f t="shared" si="40"/>
        <v>3.3915257010110264E-2</v>
      </c>
      <c r="S60" s="1"/>
      <c r="T60" s="1">
        <f>SUM(OSRRefT22_8x_0)</f>
        <v>1210</v>
      </c>
      <c r="U60" s="1"/>
      <c r="V60" s="5">
        <f t="shared" si="41"/>
        <v>7.8789891452273504E-3</v>
      </c>
      <c r="W60" s="1"/>
      <c r="X60" s="1">
        <f t="shared" si="42"/>
        <v>1381.38</v>
      </c>
      <c r="Y60" s="1"/>
      <c r="Z60" s="5">
        <f t="shared" si="43"/>
        <v>1.1416363636363638</v>
      </c>
    </row>
    <row r="61" spans="1:26" s="24" customFormat="1" hidden="1" outlineLevel="2" x14ac:dyDescent="0.3">
      <c r="A61" s="29"/>
      <c r="B61" s="11" t="str">
        <f>CONCATENATE("          ", "6279", " - ", "GENERAL EXPENSE")</f>
        <v xml:space="preserve">          6279 - GENERAL EXPENSE</v>
      </c>
      <c r="C61" s="11"/>
      <c r="D61" s="6">
        <v>432.19</v>
      </c>
      <c r="E61" s="2"/>
      <c r="F61" s="7">
        <f t="shared" si="36"/>
        <v>3.4635548980543697E-2</v>
      </c>
      <c r="G61" s="2"/>
      <c r="H61" s="6">
        <v>910</v>
      </c>
      <c r="I61" s="2"/>
      <c r="J61" s="7">
        <f t="shared" si="37"/>
        <v>3.9689462665736218E-2</v>
      </c>
      <c r="K61" s="2"/>
      <c r="L61" s="6">
        <f t="shared" si="38"/>
        <v>-477.81</v>
      </c>
      <c r="M61" s="2"/>
      <c r="N61" s="7">
        <f t="shared" si="39"/>
        <v>-0.52506593406593405</v>
      </c>
      <c r="O61" s="11"/>
      <c r="P61" s="6">
        <v>2591.38</v>
      </c>
      <c r="Q61" s="2"/>
      <c r="R61" s="7">
        <f t="shared" si="40"/>
        <v>3.3915257010110264E-2</v>
      </c>
      <c r="S61" s="2"/>
      <c r="T61" s="6">
        <v>1210</v>
      </c>
      <c r="U61" s="2"/>
      <c r="V61" s="7">
        <f t="shared" si="41"/>
        <v>7.8789891452273504E-3</v>
      </c>
      <c r="W61" s="2"/>
      <c r="X61" s="6">
        <f t="shared" si="42"/>
        <v>1381.38</v>
      </c>
      <c r="Y61" s="2"/>
      <c r="Z61" s="7">
        <f t="shared" si="43"/>
        <v>1.1416363636363638</v>
      </c>
    </row>
    <row r="62" spans="1:26" s="28" customFormat="1" outlineLevel="1" collapsed="1" x14ac:dyDescent="0.3">
      <c r="A62" s="27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331.01</v>
      </c>
      <c r="E62" s="1"/>
      <c r="F62" s="5">
        <f t="shared" si="36"/>
        <v>2.6527020680834283E-2</v>
      </c>
      <c r="G62" s="1"/>
      <c r="H62" s="1">
        <f>SUM(OSRRefH22_9x_0)</f>
        <v>330</v>
      </c>
      <c r="I62" s="1"/>
      <c r="J62" s="5">
        <f t="shared" si="37"/>
        <v>1.4392882065596651E-2</v>
      </c>
      <c r="K62" s="1"/>
      <c r="L62" s="1">
        <f t="shared" si="38"/>
        <v>1.0099999999999909</v>
      </c>
      <c r="M62" s="1"/>
      <c r="N62" s="5">
        <f t="shared" si="39"/>
        <v>3.0606060606060332E-3</v>
      </c>
      <c r="O62" s="14"/>
      <c r="P62" s="1">
        <f>SUM(OSRRefP22_9x_0)</f>
        <v>1986.06</v>
      </c>
      <c r="Q62" s="1"/>
      <c r="R62" s="5">
        <f t="shared" si="40"/>
        <v>2.5992998069561235E-2</v>
      </c>
      <c r="S62" s="1"/>
      <c r="T62" s="1">
        <f>SUM(OSRRefT22_9x_0)</f>
        <v>1980</v>
      </c>
      <c r="U62" s="1"/>
      <c r="V62" s="5">
        <f t="shared" si="41"/>
        <v>1.2892891328553847E-2</v>
      </c>
      <c r="W62" s="1"/>
      <c r="X62" s="1">
        <f t="shared" si="42"/>
        <v>6.0599999999999454</v>
      </c>
      <c r="Y62" s="1"/>
      <c r="Z62" s="5">
        <f t="shared" si="43"/>
        <v>3.0606060606060332E-3</v>
      </c>
    </row>
    <row r="63" spans="1:26" s="24" customFormat="1" hidden="1" outlineLevel="2" x14ac:dyDescent="0.3">
      <c r="A63" s="29"/>
      <c r="B63" s="11" t="str">
        <f>CONCATENATE("          ", "6314", " - ", "LIABILITY INSURANCE")</f>
        <v xml:space="preserve">          6314 - LIABILITY INSURANCE</v>
      </c>
      <c r="C63" s="11"/>
      <c r="D63" s="6">
        <v>331.01</v>
      </c>
      <c r="E63" s="2"/>
      <c r="F63" s="7">
        <f t="shared" si="36"/>
        <v>2.6527020680834283E-2</v>
      </c>
      <c r="G63" s="2"/>
      <c r="H63" s="6">
        <v>330</v>
      </c>
      <c r="I63" s="2"/>
      <c r="J63" s="7">
        <f t="shared" si="37"/>
        <v>1.4392882065596651E-2</v>
      </c>
      <c r="K63" s="2"/>
      <c r="L63" s="6">
        <f t="shared" si="38"/>
        <v>1.0099999999999909</v>
      </c>
      <c r="M63" s="2"/>
      <c r="N63" s="7">
        <f t="shared" si="39"/>
        <v>3.0606060606060332E-3</v>
      </c>
      <c r="O63" s="11"/>
      <c r="P63" s="6">
        <v>1986.06</v>
      </c>
      <c r="Q63" s="2"/>
      <c r="R63" s="7">
        <f t="shared" si="40"/>
        <v>2.5992998069561235E-2</v>
      </c>
      <c r="S63" s="2"/>
      <c r="T63" s="6">
        <v>1980</v>
      </c>
      <c r="U63" s="2"/>
      <c r="V63" s="7">
        <f t="shared" si="41"/>
        <v>1.2892891328553847E-2</v>
      </c>
      <c r="W63" s="2"/>
      <c r="X63" s="6">
        <f t="shared" si="42"/>
        <v>6.0599999999999454</v>
      </c>
      <c r="Y63" s="2"/>
      <c r="Z63" s="7">
        <f t="shared" si="43"/>
        <v>3.0606060606060332E-3</v>
      </c>
    </row>
    <row r="64" spans="1:26" s="28" customFormat="1" outlineLevel="1" collapsed="1" x14ac:dyDescent="0.3">
      <c r="A64" s="27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SUM(OSRRefD22_10x_0)</f>
        <v>3905</v>
      </c>
      <c r="E64" s="1"/>
      <c r="F64" s="5">
        <f t="shared" si="36"/>
        <v>0.31294527584863863</v>
      </c>
      <c r="G64" s="1"/>
      <c r="H64" s="1">
        <f>SUM(OSRRefH22_10x_0)</f>
        <v>3905</v>
      </c>
      <c r="I64" s="1"/>
      <c r="J64" s="5">
        <f t="shared" si="37"/>
        <v>0.17031577110956037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SUM(OSRRefP22_10x_0)</f>
        <v>23154</v>
      </c>
      <c r="Q64" s="1"/>
      <c r="R64" s="5">
        <f t="shared" si="40"/>
        <v>0.30303307921342798</v>
      </c>
      <c r="S64" s="1"/>
      <c r="T64" s="1">
        <f>SUM(OSRRefT22_10x_0)</f>
        <v>23430</v>
      </c>
      <c r="U64" s="1"/>
      <c r="V64" s="5">
        <f t="shared" si="41"/>
        <v>0.15256588072122051</v>
      </c>
      <c r="W64" s="1"/>
      <c r="X64" s="1">
        <f t="shared" si="42"/>
        <v>-276</v>
      </c>
      <c r="Y64" s="1"/>
      <c r="Z64" s="5">
        <f t="shared" si="43"/>
        <v>-1.17797695262484E-2</v>
      </c>
    </row>
    <row r="65" spans="1:26" s="24" customFormat="1" hidden="1" outlineLevel="2" x14ac:dyDescent="0.3">
      <c r="A65" s="29"/>
      <c r="B65" s="11" t="str">
        <f>CONCATENATE("          ", "6401", " - ", "INTEREST EXPENSE")</f>
        <v xml:space="preserve">          6401 - INTEREST EXPENSE</v>
      </c>
      <c r="C65" s="11"/>
      <c r="D65" s="6">
        <v>3905</v>
      </c>
      <c r="E65" s="2"/>
      <c r="F65" s="7">
        <f t="shared" si="36"/>
        <v>0.31294527584863863</v>
      </c>
      <c r="G65" s="2"/>
      <c r="H65" s="6">
        <v>3905</v>
      </c>
      <c r="I65" s="2"/>
      <c r="J65" s="7">
        <f t="shared" si="37"/>
        <v>0.17031577110956037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23154</v>
      </c>
      <c r="Q65" s="2"/>
      <c r="R65" s="7">
        <f t="shared" si="40"/>
        <v>0.30303307921342798</v>
      </c>
      <c r="S65" s="2"/>
      <c r="T65" s="6">
        <v>23430</v>
      </c>
      <c r="U65" s="2"/>
      <c r="V65" s="7">
        <f t="shared" si="41"/>
        <v>0.15256588072122051</v>
      </c>
      <c r="W65" s="2"/>
      <c r="X65" s="6">
        <f t="shared" si="42"/>
        <v>-276</v>
      </c>
      <c r="Y65" s="2"/>
      <c r="Z65" s="7">
        <f t="shared" si="43"/>
        <v>-1.17797695262484E-2</v>
      </c>
    </row>
    <row r="66" spans="1:26" s="28" customFormat="1" outlineLevel="1" collapsed="1" x14ac:dyDescent="0.3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613.41999999999996</v>
      </c>
      <c r="E66" s="1"/>
      <c r="F66" s="5">
        <f t="shared" si="36"/>
        <v>4.9159255086061948E-2</v>
      </c>
      <c r="G66" s="1"/>
      <c r="H66" s="1">
        <f>SUM(OSRRefH22_11x_0)</f>
        <v>353</v>
      </c>
      <c r="I66" s="1"/>
      <c r="J66" s="5">
        <f t="shared" si="37"/>
        <v>1.5396022330774599E-2</v>
      </c>
      <c r="K66" s="1"/>
      <c r="L66" s="1">
        <f t="shared" si="38"/>
        <v>260.41999999999996</v>
      </c>
      <c r="M66" s="1"/>
      <c r="N66" s="5">
        <f t="shared" si="39"/>
        <v>0.73773371104815855</v>
      </c>
      <c r="O66" s="14"/>
      <c r="P66" s="1">
        <f>SUM(OSRRefP22_11x_0)</f>
        <v>2978.25</v>
      </c>
      <c r="Q66" s="1"/>
      <c r="R66" s="5">
        <f t="shared" si="40"/>
        <v>3.897850341916697E-2</v>
      </c>
      <c r="S66" s="1"/>
      <c r="T66" s="1">
        <f>SUM(OSRRefT22_11x_0)</f>
        <v>6379</v>
      </c>
      <c r="U66" s="1"/>
      <c r="V66" s="5">
        <f t="shared" si="41"/>
        <v>4.1537249386285349E-2</v>
      </c>
      <c r="W66" s="1"/>
      <c r="X66" s="1">
        <f t="shared" si="42"/>
        <v>-3400.75</v>
      </c>
      <c r="Y66" s="1"/>
      <c r="Z66" s="5">
        <f t="shared" si="43"/>
        <v>-0.53311647593666722</v>
      </c>
    </row>
    <row r="67" spans="1:26" s="24" customFormat="1" hidden="1" outlineLevel="2" x14ac:dyDescent="0.3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2623</v>
      </c>
      <c r="U67" s="2"/>
      <c r="V67" s="7">
        <f t="shared" si="41"/>
        <v>1.7079825229695325E-2</v>
      </c>
      <c r="W67" s="2"/>
      <c r="X67" s="6">
        <f t="shared" si="42"/>
        <v>-2623</v>
      </c>
      <c r="Y67" s="2"/>
      <c r="Z67" s="7">
        <f t="shared" si="43"/>
        <v>-1</v>
      </c>
    </row>
    <row r="68" spans="1:26" s="24" customFormat="1" hidden="1" outlineLevel="2" x14ac:dyDescent="0.3">
      <c r="A68" s="29"/>
      <c r="B68" s="11" t="str">
        <f>CONCATENATE("          ", "6373", " - ", "MAINTENANCE CONTRACTS")</f>
        <v xml:space="preserve">          6373 - MAINTENANCE CONTRACTS</v>
      </c>
      <c r="C68" s="11"/>
      <c r="D68" s="6">
        <v>613.41999999999996</v>
      </c>
      <c r="E68" s="2"/>
      <c r="F68" s="7">
        <f t="shared" si="36"/>
        <v>4.9159255086061948E-2</v>
      </c>
      <c r="G68" s="2"/>
      <c r="H68" s="6">
        <v>138</v>
      </c>
      <c r="I68" s="2"/>
      <c r="J68" s="7">
        <f t="shared" si="37"/>
        <v>6.0188415910676901E-3</v>
      </c>
      <c r="K68" s="2"/>
      <c r="L68" s="6">
        <f t="shared" si="38"/>
        <v>475.41999999999996</v>
      </c>
      <c r="M68" s="2"/>
      <c r="N68" s="7">
        <f t="shared" si="39"/>
        <v>3.4450724637681156</v>
      </c>
      <c r="O68" s="11"/>
      <c r="P68" s="6">
        <v>817</v>
      </c>
      <c r="Q68" s="2"/>
      <c r="R68" s="7">
        <f t="shared" si="40"/>
        <v>1.0692667604619965E-2</v>
      </c>
      <c r="S68" s="2"/>
      <c r="T68" s="6">
        <v>836</v>
      </c>
      <c r="U68" s="2"/>
      <c r="V68" s="7">
        <f t="shared" si="41"/>
        <v>5.4436652276116243E-3</v>
      </c>
      <c r="W68" s="2"/>
      <c r="X68" s="6">
        <f t="shared" si="42"/>
        <v>-19</v>
      </c>
      <c r="Y68" s="2"/>
      <c r="Z68" s="7">
        <f t="shared" si="43"/>
        <v>-2.2727272727272728E-2</v>
      </c>
    </row>
    <row r="69" spans="1:26" s="24" customFormat="1" hidden="1" outlineLevel="2" x14ac:dyDescent="0.3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6"/>
        <v>0</v>
      </c>
      <c r="G69" s="2"/>
      <c r="H69" s="6">
        <v>215</v>
      </c>
      <c r="I69" s="2"/>
      <c r="J69" s="7">
        <f t="shared" si="37"/>
        <v>9.3771807397069092E-3</v>
      </c>
      <c r="K69" s="2"/>
      <c r="L69" s="6">
        <f t="shared" si="38"/>
        <v>-215</v>
      </c>
      <c r="M69" s="2"/>
      <c r="N69" s="7">
        <f t="shared" si="39"/>
        <v>-1</v>
      </c>
      <c r="O69" s="11"/>
      <c r="P69" s="6">
        <v>2161.25</v>
      </c>
      <c r="Q69" s="2"/>
      <c r="R69" s="7">
        <f t="shared" si="40"/>
        <v>2.8285835814547002E-2</v>
      </c>
      <c r="S69" s="2"/>
      <c r="T69" s="6">
        <v>2920</v>
      </c>
      <c r="U69" s="2"/>
      <c r="V69" s="7">
        <f t="shared" si="41"/>
        <v>1.90137589289784E-2</v>
      </c>
      <c r="W69" s="2"/>
      <c r="X69" s="6">
        <f t="shared" si="42"/>
        <v>-758.75</v>
      </c>
      <c r="Y69" s="2"/>
      <c r="Z69" s="7">
        <f t="shared" si="43"/>
        <v>-0.2598458904109589</v>
      </c>
    </row>
    <row r="70" spans="1:26" s="28" customFormat="1" outlineLevel="1" collapsed="1" x14ac:dyDescent="0.3">
      <c r="A70" s="27"/>
      <c r="B70" s="14" t="str">
        <f>CONCATENATE("     ","Royalty &amp; Commissions                             ")</f>
        <v xml:space="preserve">     Royalty &amp; Commissions                             </v>
      </c>
      <c r="C70" s="14"/>
      <c r="D70" s="1">
        <f>SUM(OSRRefD22_12x_0)</f>
        <v>0</v>
      </c>
      <c r="E70" s="1"/>
      <c r="F70" s="5">
        <f t="shared" ref="F70:F75" si="44">IF(D$12=0,0,D70/D$12)</f>
        <v>0</v>
      </c>
      <c r="G70" s="1"/>
      <c r="H70" s="1">
        <f>SUM(OSRRefH22_12x_0)</f>
        <v>612</v>
      </c>
      <c r="I70" s="1"/>
      <c r="J70" s="5">
        <f t="shared" ref="J70:J75" si="45">IF(H$12=0,0,H70/H$12)</f>
        <v>2.6692254012561062E-2</v>
      </c>
      <c r="K70" s="1"/>
      <c r="L70" s="1">
        <f t="shared" ref="L70:L75" si="46">+D70-H70</f>
        <v>-612</v>
      </c>
      <c r="M70" s="1"/>
      <c r="N70" s="5">
        <f t="shared" ref="N70:N75" si="47">IF(H70=0,0,L70/H70)</f>
        <v>-1</v>
      </c>
      <c r="O70" s="14"/>
      <c r="P70" s="1">
        <f>SUM(OSRRefP22_12x_0)</f>
        <v>0</v>
      </c>
      <c r="Q70" s="1"/>
      <c r="R70" s="5">
        <f t="shared" ref="R70:R75" si="48">IF(P$12=0,0,P70/P$12)</f>
        <v>0</v>
      </c>
      <c r="S70" s="1"/>
      <c r="T70" s="1">
        <f>SUM(OSRRefT22_12x_0)</f>
        <v>4272</v>
      </c>
      <c r="U70" s="1"/>
      <c r="V70" s="5">
        <f t="shared" ref="V70:V75" si="49">IF(T$12=0,0,T70/T$12)</f>
        <v>2.7817389775546483E-2</v>
      </c>
      <c r="W70" s="1"/>
      <c r="X70" s="1">
        <f t="shared" ref="X70:X75" si="50">+P70-T70</f>
        <v>-4272</v>
      </c>
      <c r="Y70" s="1"/>
      <c r="Z70" s="5">
        <f t="shared" ref="Z70:Z75" si="51">IF(T70=0,0,X70/T70)</f>
        <v>-1</v>
      </c>
    </row>
    <row r="71" spans="1:26" s="24" customFormat="1" hidden="1" outlineLevel="2" x14ac:dyDescent="0.3">
      <c r="A71" s="29"/>
      <c r="B71" s="11" t="str">
        <f>CONCATENATE("          ", "6259", " - ", "ROYALTY &amp; COMMISSIONS")</f>
        <v xml:space="preserve">          6259 - ROYALTY &amp; COMMISSIONS</v>
      </c>
      <c r="C71" s="11"/>
      <c r="D71" s="6"/>
      <c r="E71" s="2"/>
      <c r="F71" s="7">
        <f t="shared" si="44"/>
        <v>0</v>
      </c>
      <c r="G71" s="2"/>
      <c r="H71" s="6">
        <v>612</v>
      </c>
      <c r="I71" s="2"/>
      <c r="J71" s="7">
        <f t="shared" si="45"/>
        <v>2.6692254012561062E-2</v>
      </c>
      <c r="K71" s="2"/>
      <c r="L71" s="6">
        <f t="shared" si="46"/>
        <v>-612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4272</v>
      </c>
      <c r="U71" s="2"/>
      <c r="V71" s="7">
        <f t="shared" si="49"/>
        <v>2.7817389775546483E-2</v>
      </c>
      <c r="W71" s="2"/>
      <c r="X71" s="6">
        <f t="shared" si="50"/>
        <v>-4272</v>
      </c>
      <c r="Y71" s="2"/>
      <c r="Z71" s="7">
        <f t="shared" si="51"/>
        <v>-1</v>
      </c>
    </row>
    <row r="72" spans="1:26" s="28" customFormat="1" outlineLevel="1" collapsed="1" x14ac:dyDescent="0.3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434.40999999999997</v>
      </c>
      <c r="E72" s="1"/>
      <c r="F72" s="5">
        <f t="shared" si="44"/>
        <v>3.4813458970910913E-2</v>
      </c>
      <c r="G72" s="1"/>
      <c r="H72" s="1">
        <f>SUM(OSRRefH22_13x_0)</f>
        <v>292</v>
      </c>
      <c r="I72" s="1"/>
      <c r="J72" s="5">
        <f t="shared" si="45"/>
        <v>1.2735519888346127E-2</v>
      </c>
      <c r="K72" s="1"/>
      <c r="L72" s="1">
        <f t="shared" si="46"/>
        <v>142.40999999999997</v>
      </c>
      <c r="M72" s="1"/>
      <c r="N72" s="5">
        <f t="shared" si="47"/>
        <v>0.48770547945205467</v>
      </c>
      <c r="O72" s="14"/>
      <c r="P72" s="1">
        <f>SUM(OSRRefP22_13x_0)</f>
        <v>9802.9399999999987</v>
      </c>
      <c r="Q72" s="1"/>
      <c r="R72" s="5">
        <f t="shared" si="48"/>
        <v>0.1282981382717665</v>
      </c>
      <c r="S72" s="1"/>
      <c r="T72" s="1">
        <f>SUM(OSRRefT22_13x_0)</f>
        <v>1469</v>
      </c>
      <c r="U72" s="1"/>
      <c r="V72" s="5">
        <f t="shared" si="49"/>
        <v>9.5654835159826278E-3</v>
      </c>
      <c r="W72" s="1"/>
      <c r="X72" s="1">
        <f t="shared" si="50"/>
        <v>8333.9399999999987</v>
      </c>
      <c r="Y72" s="1"/>
      <c r="Z72" s="5">
        <f t="shared" si="51"/>
        <v>5.6732062627637836</v>
      </c>
    </row>
    <row r="73" spans="1:26" s="24" customFormat="1" hidden="1" outlineLevel="2" x14ac:dyDescent="0.3">
      <c r="A73" s="29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320.25</v>
      </c>
      <c r="E73" s="2"/>
      <c r="F73" s="7">
        <f t="shared" si="44"/>
        <v>2.5664718205000391E-2</v>
      </c>
      <c r="G73" s="2"/>
      <c r="H73" s="6">
        <v>258</v>
      </c>
      <c r="I73" s="2"/>
      <c r="J73" s="7">
        <f t="shared" si="45"/>
        <v>1.125261688764829E-2</v>
      </c>
      <c r="K73" s="2"/>
      <c r="L73" s="6">
        <f t="shared" si="46"/>
        <v>62.25</v>
      </c>
      <c r="M73" s="2"/>
      <c r="N73" s="7">
        <f t="shared" si="47"/>
        <v>0.24127906976744187</v>
      </c>
      <c r="O73" s="11"/>
      <c r="P73" s="6">
        <v>1921.5</v>
      </c>
      <c r="Q73" s="2"/>
      <c r="R73" s="7">
        <f t="shared" si="48"/>
        <v>2.5148054837548669E-2</v>
      </c>
      <c r="S73" s="2"/>
      <c r="T73" s="6">
        <v>1290</v>
      </c>
      <c r="U73" s="2"/>
      <c r="V73" s="7">
        <f t="shared" si="49"/>
        <v>8.3999140473911427E-3</v>
      </c>
      <c r="W73" s="2"/>
      <c r="X73" s="6">
        <f t="shared" si="50"/>
        <v>631.5</v>
      </c>
      <c r="Y73" s="2"/>
      <c r="Z73" s="7">
        <f t="shared" si="51"/>
        <v>0.48953488372093024</v>
      </c>
    </row>
    <row r="74" spans="1:26" s="24" customFormat="1" hidden="1" outlineLevel="2" x14ac:dyDescent="0.3">
      <c r="A74" s="29"/>
      <c r="B74" s="11" t="str">
        <f>CONCATENATE("          ", "6285", " - ", "JANITORIAL SERVICES")</f>
        <v xml:space="preserve">          6285 - JANITORIAL SERVICES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7455.64</v>
      </c>
      <c r="Q74" s="2"/>
      <c r="R74" s="7">
        <f t="shared" si="48"/>
        <v>9.7577332068187028E-2</v>
      </c>
      <c r="S74" s="2"/>
      <c r="T74" s="6"/>
      <c r="U74" s="2"/>
      <c r="V74" s="7">
        <f t="shared" si="49"/>
        <v>0</v>
      </c>
      <c r="W74" s="2"/>
      <c r="X74" s="6">
        <f t="shared" si="50"/>
        <v>7455.64</v>
      </c>
      <c r="Y74" s="2"/>
      <c r="Z74" s="7">
        <f t="shared" si="51"/>
        <v>0</v>
      </c>
    </row>
    <row r="75" spans="1:26" s="24" customFormat="1" hidden="1" outlineLevel="2" x14ac:dyDescent="0.3">
      <c r="A75" s="29"/>
      <c r="B75" s="11" t="str">
        <f>CONCATENATE("          ", "6286", " - ", "LAUNDRY EXPENSE")</f>
        <v xml:space="preserve">          6286 - LAUNDRY EXPENSE</v>
      </c>
      <c r="C75" s="11"/>
      <c r="D75" s="6">
        <v>114.16</v>
      </c>
      <c r="E75" s="2"/>
      <c r="F75" s="7">
        <f t="shared" si="44"/>
        <v>9.1487407659105215E-3</v>
      </c>
      <c r="G75" s="2"/>
      <c r="H75" s="6">
        <v>34</v>
      </c>
      <c r="I75" s="2"/>
      <c r="J75" s="7">
        <f t="shared" si="45"/>
        <v>1.4829030006978368E-3</v>
      </c>
      <c r="K75" s="2"/>
      <c r="L75" s="6">
        <f t="shared" si="46"/>
        <v>80.16</v>
      </c>
      <c r="M75" s="2"/>
      <c r="N75" s="7">
        <f t="shared" si="47"/>
        <v>2.3576470588235292</v>
      </c>
      <c r="O75" s="11"/>
      <c r="P75" s="6">
        <v>425.8</v>
      </c>
      <c r="Q75" s="2"/>
      <c r="R75" s="7">
        <f t="shared" si="48"/>
        <v>5.5727513660308219E-3</v>
      </c>
      <c r="S75" s="2"/>
      <c r="T75" s="6">
        <v>179</v>
      </c>
      <c r="U75" s="2"/>
      <c r="V75" s="7">
        <f t="shared" si="49"/>
        <v>1.1655694685914842E-3</v>
      </c>
      <c r="W75" s="2"/>
      <c r="X75" s="6">
        <f t="shared" si="50"/>
        <v>246.8</v>
      </c>
      <c r="Y75" s="2"/>
      <c r="Z75" s="7">
        <f t="shared" si="51"/>
        <v>1.3787709497206704</v>
      </c>
    </row>
    <row r="76" spans="1:26" s="28" customFormat="1" outlineLevel="1" collapsed="1" x14ac:dyDescent="0.3">
      <c r="A76" s="27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SUM(OSRRefD22_14x_0)</f>
        <v>179.59</v>
      </c>
      <c r="E76" s="1"/>
      <c r="F76" s="5">
        <f t="shared" ref="F76:F81" si="52">IF(D$12=0,0,D76/D$12)</f>
        <v>1.4392277103625355E-2</v>
      </c>
      <c r="G76" s="1"/>
      <c r="H76" s="1">
        <f>SUM(OSRRefH22_14x_0)</f>
        <v>950</v>
      </c>
      <c r="I76" s="1"/>
      <c r="J76" s="5">
        <f t="shared" ref="J76:J81" si="53">IF(H$12=0,0,H76/H$12)</f>
        <v>4.1434054431263086E-2</v>
      </c>
      <c r="K76" s="1"/>
      <c r="L76" s="1">
        <f t="shared" ref="L76:L81" si="54">+D76-H76</f>
        <v>-770.41</v>
      </c>
      <c r="M76" s="1"/>
      <c r="N76" s="5">
        <f t="shared" ref="N76:N81" si="55">IF(H76=0,0,L76/H76)</f>
        <v>-0.8109578947368421</v>
      </c>
      <c r="O76" s="14"/>
      <c r="P76" s="1">
        <f>SUM(OSRRefP22_14x_0)</f>
        <v>2764.29</v>
      </c>
      <c r="Q76" s="1"/>
      <c r="R76" s="5">
        <f t="shared" ref="R76:R81" si="56">IF(P$12=0,0,P76/P$12)</f>
        <v>3.6178254752478489E-2</v>
      </c>
      <c r="S76" s="1"/>
      <c r="T76" s="1">
        <f>SUM(OSRRefT22_14x_0)</f>
        <v>10850</v>
      </c>
      <c r="U76" s="1"/>
      <c r="V76" s="5">
        <f t="shared" ref="V76:V81" si="57">IF(T$12=0,0,T76/T$12)</f>
        <v>7.0650439855964267E-2</v>
      </c>
      <c r="W76" s="1"/>
      <c r="X76" s="1">
        <f t="shared" ref="X76:X81" si="58">+P76-T76</f>
        <v>-8085.71</v>
      </c>
      <c r="Y76" s="1"/>
      <c r="Z76" s="5">
        <f t="shared" ref="Z76:Z81" si="59">IF(T76=0,0,X76/T76)</f>
        <v>-0.74522672811059909</v>
      </c>
    </row>
    <row r="77" spans="1:26" s="24" customFormat="1" hidden="1" outlineLevel="2" x14ac:dyDescent="0.3">
      <c r="A77" s="29"/>
      <c r="B77" s="11" t="str">
        <f>CONCATENATE("          ", "6234", " - ", "EXPENDABLE SUPPLIES &amp; EQUIPMEN")</f>
        <v xml:space="preserve">          6234 - EXPENDABLE SUPPLIES &amp; EQUIPMEN</v>
      </c>
      <c r="C77" s="11"/>
      <c r="D77" s="6"/>
      <c r="E77" s="2"/>
      <c r="F77" s="7">
        <f t="shared" si="52"/>
        <v>0</v>
      </c>
      <c r="G77" s="2"/>
      <c r="H77" s="6">
        <v>50</v>
      </c>
      <c r="I77" s="2"/>
      <c r="J77" s="7">
        <f t="shared" si="53"/>
        <v>2.1807397069085834E-3</v>
      </c>
      <c r="K77" s="2"/>
      <c r="L77" s="6">
        <f t="shared" si="54"/>
        <v>-50</v>
      </c>
      <c r="M77" s="2"/>
      <c r="N77" s="7">
        <f t="shared" si="55"/>
        <v>-1</v>
      </c>
      <c r="O77" s="11"/>
      <c r="P77" s="6">
        <v>1194.8900000000001</v>
      </c>
      <c r="Q77" s="2"/>
      <c r="R77" s="7">
        <f t="shared" si="56"/>
        <v>1.5638386284068974E-2</v>
      </c>
      <c r="S77" s="2"/>
      <c r="T77" s="6">
        <v>400</v>
      </c>
      <c r="U77" s="2"/>
      <c r="V77" s="7">
        <f t="shared" si="57"/>
        <v>2.604624510818959E-3</v>
      </c>
      <c r="W77" s="2"/>
      <c r="X77" s="6">
        <f t="shared" si="58"/>
        <v>794.8900000000001</v>
      </c>
      <c r="Y77" s="2"/>
      <c r="Z77" s="7">
        <f t="shared" si="59"/>
        <v>1.9872250000000002</v>
      </c>
    </row>
    <row r="78" spans="1:26" s="24" customFormat="1" hidden="1" outlineLevel="2" x14ac:dyDescent="0.3">
      <c r="A78" s="29"/>
      <c r="B78" s="11" t="str">
        <f>CONCATENATE("          ", "6237", " - ", "JANITORIAL SUPPLIES")</f>
        <v xml:space="preserve">          6237 - JANITORIAL SUPPLIES</v>
      </c>
      <c r="C78" s="11"/>
      <c r="D78" s="6">
        <v>76.540000000000006</v>
      </c>
      <c r="E78" s="2"/>
      <c r="F78" s="7">
        <f t="shared" si="52"/>
        <v>6.1338876859039189E-3</v>
      </c>
      <c r="G78" s="2"/>
      <c r="H78" s="6">
        <v>0</v>
      </c>
      <c r="I78" s="2"/>
      <c r="J78" s="7">
        <f t="shared" si="53"/>
        <v>0</v>
      </c>
      <c r="K78" s="2"/>
      <c r="L78" s="6">
        <f t="shared" si="54"/>
        <v>76.540000000000006</v>
      </c>
      <c r="M78" s="2"/>
      <c r="N78" s="7">
        <f t="shared" si="55"/>
        <v>0</v>
      </c>
      <c r="O78" s="11"/>
      <c r="P78" s="6">
        <v>603.72</v>
      </c>
      <c r="Q78" s="2"/>
      <c r="R78" s="7">
        <f t="shared" si="56"/>
        <v>7.9013185878349639E-3</v>
      </c>
      <c r="S78" s="2"/>
      <c r="T78" s="6">
        <v>100</v>
      </c>
      <c r="U78" s="2"/>
      <c r="V78" s="7">
        <f t="shared" si="57"/>
        <v>6.5115612770473975E-4</v>
      </c>
      <c r="W78" s="2"/>
      <c r="X78" s="6">
        <f t="shared" si="58"/>
        <v>503.72</v>
      </c>
      <c r="Y78" s="2"/>
      <c r="Z78" s="7">
        <f t="shared" si="59"/>
        <v>5.0372000000000003</v>
      </c>
    </row>
    <row r="79" spans="1:26" s="24" customFormat="1" hidden="1" outlineLevel="2" x14ac:dyDescent="0.3">
      <c r="A79" s="29"/>
      <c r="B79" s="11" t="str">
        <f>CONCATENATE("          ", "6241", " - ", "OFFICE EXPENSE")</f>
        <v xml:space="preserve">          6241 - OFFICE EXPENSE</v>
      </c>
      <c r="C79" s="11"/>
      <c r="D79" s="6">
        <v>36.71</v>
      </c>
      <c r="E79" s="2"/>
      <c r="F79" s="7">
        <f t="shared" si="52"/>
        <v>2.9419260118831048E-3</v>
      </c>
      <c r="G79" s="2"/>
      <c r="H79" s="6"/>
      <c r="I79" s="2"/>
      <c r="J79" s="7">
        <f t="shared" si="53"/>
        <v>0</v>
      </c>
      <c r="K79" s="2"/>
      <c r="L79" s="6">
        <f t="shared" si="54"/>
        <v>36.71</v>
      </c>
      <c r="M79" s="2"/>
      <c r="N79" s="7">
        <f t="shared" si="55"/>
        <v>0</v>
      </c>
      <c r="O79" s="11"/>
      <c r="P79" s="6">
        <v>214.19</v>
      </c>
      <c r="Q79" s="2"/>
      <c r="R79" s="7">
        <f t="shared" si="56"/>
        <v>2.8032588423911264E-3</v>
      </c>
      <c r="S79" s="2"/>
      <c r="T79" s="6"/>
      <c r="U79" s="2"/>
      <c r="V79" s="7">
        <f t="shared" si="57"/>
        <v>0</v>
      </c>
      <c r="W79" s="2"/>
      <c r="X79" s="6">
        <f t="shared" si="58"/>
        <v>214.19</v>
      </c>
      <c r="Y79" s="2"/>
      <c r="Z79" s="7">
        <f t="shared" si="59"/>
        <v>0</v>
      </c>
    </row>
    <row r="80" spans="1:26" s="24" customFormat="1" hidden="1" outlineLevel="2" x14ac:dyDescent="0.3">
      <c r="A80" s="29"/>
      <c r="B80" s="11" t="str">
        <f>CONCATENATE("          ", "6243", " - ", "PAPER SUPPLIES")</f>
        <v xml:space="preserve">          6243 - PAPER SUPPLIES</v>
      </c>
      <c r="C80" s="11"/>
      <c r="D80" s="6"/>
      <c r="E80" s="2"/>
      <c r="F80" s="7">
        <f t="shared" si="52"/>
        <v>0</v>
      </c>
      <c r="G80" s="2"/>
      <c r="H80" s="6">
        <v>200</v>
      </c>
      <c r="I80" s="2"/>
      <c r="J80" s="7">
        <f t="shared" si="53"/>
        <v>8.7229588276343337E-3</v>
      </c>
      <c r="K80" s="2"/>
      <c r="L80" s="6">
        <f t="shared" si="54"/>
        <v>-200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1000</v>
      </c>
      <c r="U80" s="2"/>
      <c r="V80" s="7">
        <f t="shared" si="57"/>
        <v>6.511561277047398E-3</v>
      </c>
      <c r="W80" s="2"/>
      <c r="X80" s="6">
        <f t="shared" si="58"/>
        <v>-1000</v>
      </c>
      <c r="Y80" s="2"/>
      <c r="Z80" s="7">
        <f t="shared" si="59"/>
        <v>-1</v>
      </c>
    </row>
    <row r="81" spans="1:26" s="24" customFormat="1" hidden="1" outlineLevel="2" x14ac:dyDescent="0.3">
      <c r="A81" s="29"/>
      <c r="B81" s="11" t="str">
        <f>CONCATENATE("          ", "6247", " - ", "STORE SUPPLIES")</f>
        <v xml:space="preserve">          6247 - STORE SUPPLIES</v>
      </c>
      <c r="C81" s="11"/>
      <c r="D81" s="6">
        <v>66.34</v>
      </c>
      <c r="E81" s="2"/>
      <c r="F81" s="7">
        <f t="shared" si="52"/>
        <v>5.3164634058383321E-3</v>
      </c>
      <c r="G81" s="2"/>
      <c r="H81" s="6">
        <v>700</v>
      </c>
      <c r="I81" s="2"/>
      <c r="J81" s="7">
        <f t="shared" si="53"/>
        <v>3.0530355896720169E-2</v>
      </c>
      <c r="K81" s="2"/>
      <c r="L81" s="6">
        <f t="shared" si="54"/>
        <v>-633.66</v>
      </c>
      <c r="M81" s="2"/>
      <c r="N81" s="7">
        <f t="shared" si="55"/>
        <v>-0.90522857142857138</v>
      </c>
      <c r="O81" s="11"/>
      <c r="P81" s="6">
        <v>751.49</v>
      </c>
      <c r="Q81" s="2"/>
      <c r="R81" s="7">
        <f t="shared" si="56"/>
        <v>9.8352910381834247E-3</v>
      </c>
      <c r="S81" s="2"/>
      <c r="T81" s="6">
        <v>9350</v>
      </c>
      <c r="U81" s="2"/>
      <c r="V81" s="7">
        <f t="shared" si="57"/>
        <v>6.088309794039317E-2</v>
      </c>
      <c r="W81" s="2"/>
      <c r="X81" s="6">
        <f t="shared" si="58"/>
        <v>-8598.51</v>
      </c>
      <c r="Y81" s="2"/>
      <c r="Z81" s="7">
        <f t="shared" si="59"/>
        <v>-0.9196267379679145</v>
      </c>
    </row>
    <row r="82" spans="1:26" s="28" customFormat="1" outlineLevel="1" collapsed="1" x14ac:dyDescent="0.3">
      <c r="A82" s="27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SUM(OSRRefD22_15x_0)</f>
        <v>603.5</v>
      </c>
      <c r="E82" s="1"/>
      <c r="F82" s="5">
        <f t="shared" ref="F82:F84" si="60">IF(D$12=0,0,D82/D$12)</f>
        <v>4.8364269903880514E-2</v>
      </c>
      <c r="G82" s="1"/>
      <c r="H82" s="1">
        <f>SUM(OSRRefH22_15x_0)</f>
        <v>178</v>
      </c>
      <c r="I82" s="1"/>
      <c r="J82" s="5">
        <f t="shared" ref="J82:J84" si="61">IF(H$12=0,0,H82/H$12)</f>
        <v>7.763433356594557E-3</v>
      </c>
      <c r="K82" s="1"/>
      <c r="L82" s="1">
        <f t="shared" ref="L82:L84" si="62">+D82-H82</f>
        <v>425.5</v>
      </c>
      <c r="M82" s="1"/>
      <c r="N82" s="5">
        <f t="shared" ref="N82:N84" si="63">IF(H82=0,0,L82/H82)</f>
        <v>2.3904494382022472</v>
      </c>
      <c r="O82" s="14"/>
      <c r="P82" s="1">
        <f>SUM(OSRRefP22_15x_0)</f>
        <v>1154.5</v>
      </c>
      <c r="Q82" s="1"/>
      <c r="R82" s="5">
        <f t="shared" ref="R82:R84" si="64">IF(P$12=0,0,P82/P$12)</f>
        <v>1.5109773255243267E-2</v>
      </c>
      <c r="S82" s="1"/>
      <c r="T82" s="1">
        <f>SUM(OSRRefT22_15x_0)</f>
        <v>1068</v>
      </c>
      <c r="U82" s="1"/>
      <c r="V82" s="5">
        <f t="shared" ref="V82:V84" si="65">IF(T$12=0,0,T82/T$12)</f>
        <v>6.9543474438866206E-3</v>
      </c>
      <c r="W82" s="1"/>
      <c r="X82" s="1">
        <f t="shared" ref="X82:X84" si="66">+P82-T82</f>
        <v>86.5</v>
      </c>
      <c r="Y82" s="1"/>
      <c r="Z82" s="5">
        <f t="shared" ref="Z82:Z84" si="67">IF(T82=0,0,X82/T82)</f>
        <v>8.0992509363295884E-2</v>
      </c>
    </row>
    <row r="83" spans="1:26" s="24" customFormat="1" hidden="1" outlineLevel="2" x14ac:dyDescent="0.3">
      <c r="A83" s="29"/>
      <c r="B83" s="11" t="str">
        <f>CONCATENATE("          ", "6303", " - ", "DATA PHONE LINES")</f>
        <v xml:space="preserve">          6303 - DATA PHONE LINES</v>
      </c>
      <c r="C83" s="11"/>
      <c r="D83" s="6"/>
      <c r="E83" s="2"/>
      <c r="F83" s="7">
        <f t="shared" si="60"/>
        <v>0</v>
      </c>
      <c r="G83" s="2"/>
      <c r="H83" s="6">
        <v>50</v>
      </c>
      <c r="I83" s="2"/>
      <c r="J83" s="7">
        <f t="shared" si="61"/>
        <v>2.1807397069085834E-3</v>
      </c>
      <c r="K83" s="2"/>
      <c r="L83" s="6">
        <f t="shared" si="62"/>
        <v>-50</v>
      </c>
      <c r="M83" s="2"/>
      <c r="N83" s="7">
        <f t="shared" si="63"/>
        <v>-1</v>
      </c>
      <c r="O83" s="11"/>
      <c r="P83" s="6"/>
      <c r="Q83" s="2"/>
      <c r="R83" s="7">
        <f t="shared" si="64"/>
        <v>0</v>
      </c>
      <c r="S83" s="2"/>
      <c r="T83" s="6">
        <v>300</v>
      </c>
      <c r="U83" s="2"/>
      <c r="V83" s="7">
        <f t="shared" si="65"/>
        <v>1.9534683831142195E-3</v>
      </c>
      <c r="W83" s="2"/>
      <c r="X83" s="6">
        <f t="shared" si="66"/>
        <v>-300</v>
      </c>
      <c r="Y83" s="2"/>
      <c r="Z83" s="7">
        <f t="shared" si="67"/>
        <v>-1</v>
      </c>
    </row>
    <row r="84" spans="1:26" s="24" customFormat="1" hidden="1" outlineLevel="2" x14ac:dyDescent="0.3">
      <c r="A84" s="29"/>
      <c r="B84" s="11" t="str">
        <f>CONCATENATE("          ", "6309", " - ", "TELEPHONE")</f>
        <v xml:space="preserve">          6309 - TELEPHONE</v>
      </c>
      <c r="C84" s="11"/>
      <c r="D84" s="6">
        <v>603.5</v>
      </c>
      <c r="E84" s="2"/>
      <c r="F84" s="7">
        <f t="shared" si="60"/>
        <v>4.8364269903880514E-2</v>
      </c>
      <c r="G84" s="2"/>
      <c r="H84" s="6">
        <v>128</v>
      </c>
      <c r="I84" s="2"/>
      <c r="J84" s="7">
        <f t="shared" si="61"/>
        <v>5.5826936496859731E-3</v>
      </c>
      <c r="K84" s="2"/>
      <c r="L84" s="6">
        <f t="shared" si="62"/>
        <v>475.5</v>
      </c>
      <c r="M84" s="2"/>
      <c r="N84" s="7">
        <f t="shared" si="63"/>
        <v>3.71484375</v>
      </c>
      <c r="O84" s="11"/>
      <c r="P84" s="6">
        <v>1154.5</v>
      </c>
      <c r="Q84" s="2"/>
      <c r="R84" s="7">
        <f t="shared" si="64"/>
        <v>1.5109773255243267E-2</v>
      </c>
      <c r="S84" s="2"/>
      <c r="T84" s="6">
        <v>768</v>
      </c>
      <c r="U84" s="2"/>
      <c r="V84" s="7">
        <f t="shared" si="65"/>
        <v>5.0008790607724016E-3</v>
      </c>
      <c r="W84" s="2"/>
      <c r="X84" s="6">
        <f t="shared" si="66"/>
        <v>386.5</v>
      </c>
      <c r="Y84" s="2"/>
      <c r="Z84" s="7">
        <f t="shared" si="67"/>
        <v>0.50325520833333337</v>
      </c>
    </row>
    <row r="85" spans="1:26" s="28" customFormat="1" outlineLevel="1" collapsed="1" x14ac:dyDescent="0.3">
      <c r="A85" s="27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SUM(OSRRefD22_16x_0)</f>
        <v>0</v>
      </c>
      <c r="E85" s="1"/>
      <c r="F85" s="5">
        <f t="shared" ref="F85:F88" si="68">IF(D$12=0,0,D85/D$12)</f>
        <v>0</v>
      </c>
      <c r="G85" s="1"/>
      <c r="H85" s="1">
        <f>SUM(OSRRefH22_16x_0)</f>
        <v>0</v>
      </c>
      <c r="I85" s="1"/>
      <c r="J85" s="5">
        <f t="shared" ref="J85:J88" si="69">IF(H$12=0,0,H85/H$12)</f>
        <v>0</v>
      </c>
      <c r="K85" s="1"/>
      <c r="L85" s="1">
        <f t="shared" ref="L85:L88" si="70">+D85-H85</f>
        <v>0</v>
      </c>
      <c r="M85" s="1"/>
      <c r="N85" s="5">
        <f t="shared" ref="N85:N88" si="71">IF(H85=0,0,L85/H85)</f>
        <v>0</v>
      </c>
      <c r="O85" s="14"/>
      <c r="P85" s="1">
        <f>SUM(OSRRefP22_16x_0)</f>
        <v>0</v>
      </c>
      <c r="Q85" s="1"/>
      <c r="R85" s="5">
        <f t="shared" ref="R85:R88" si="72">IF(P$12=0,0,P85/P$12)</f>
        <v>0</v>
      </c>
      <c r="S85" s="1"/>
      <c r="T85" s="1">
        <f>SUM(OSRRefT22_16x_0)</f>
        <v>75</v>
      </c>
      <c r="U85" s="1"/>
      <c r="V85" s="5">
        <f t="shared" ref="V85:V88" si="73">IF(T$12=0,0,T85/T$12)</f>
        <v>4.8836709577855487E-4</v>
      </c>
      <c r="W85" s="1"/>
      <c r="X85" s="1">
        <f t="shared" ref="X85:X88" si="74">+P85-T85</f>
        <v>-75</v>
      </c>
      <c r="Y85" s="1"/>
      <c r="Z85" s="5">
        <f t="shared" ref="Z85:Z88" si="75">IF(T85=0,0,X85/T85)</f>
        <v>-1</v>
      </c>
    </row>
    <row r="86" spans="1:26" s="24" customFormat="1" hidden="1" outlineLevel="2" x14ac:dyDescent="0.3">
      <c r="A86" s="29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68"/>
        <v>0</v>
      </c>
      <c r="G86" s="2"/>
      <c r="H86" s="6"/>
      <c r="I86" s="2"/>
      <c r="J86" s="7">
        <f t="shared" si="69"/>
        <v>0</v>
      </c>
      <c r="K86" s="2"/>
      <c r="L86" s="6">
        <f t="shared" si="70"/>
        <v>0</v>
      </c>
      <c r="M86" s="2"/>
      <c r="N86" s="7">
        <f t="shared" si="71"/>
        <v>0</v>
      </c>
      <c r="O86" s="11"/>
      <c r="P86" s="6"/>
      <c r="Q86" s="2"/>
      <c r="R86" s="7">
        <f t="shared" si="72"/>
        <v>0</v>
      </c>
      <c r="S86" s="2"/>
      <c r="T86" s="6">
        <v>75</v>
      </c>
      <c r="U86" s="2"/>
      <c r="V86" s="7">
        <f t="shared" si="73"/>
        <v>4.8836709577855487E-4</v>
      </c>
      <c r="W86" s="2"/>
      <c r="X86" s="6">
        <f t="shared" si="74"/>
        <v>-75</v>
      </c>
      <c r="Y86" s="2"/>
      <c r="Z86" s="7">
        <f t="shared" si="75"/>
        <v>-1</v>
      </c>
    </row>
    <row r="87" spans="1:26" s="28" customFormat="1" outlineLevel="1" collapsed="1" x14ac:dyDescent="0.3">
      <c r="A87" s="27"/>
      <c r="B87" s="14" t="str">
        <f>CONCATENATE("     ","Utilities                                         ")</f>
        <v xml:space="preserve">     Utilities                                         </v>
      </c>
      <c r="C87" s="14"/>
      <c r="D87" s="1">
        <f>SUM(OSRRefD22_17x_0)</f>
        <v>100</v>
      </c>
      <c r="E87" s="1"/>
      <c r="F87" s="5">
        <f t="shared" si="68"/>
        <v>8.0139635300547664E-3</v>
      </c>
      <c r="G87" s="1"/>
      <c r="H87" s="1">
        <f>SUM(OSRRefH22_17x_0)</f>
        <v>0</v>
      </c>
      <c r="I87" s="1"/>
      <c r="J87" s="5">
        <f t="shared" si="69"/>
        <v>0</v>
      </c>
      <c r="K87" s="1"/>
      <c r="L87" s="1">
        <f t="shared" si="70"/>
        <v>100</v>
      </c>
      <c r="M87" s="1"/>
      <c r="N87" s="5">
        <f t="shared" si="71"/>
        <v>0</v>
      </c>
      <c r="O87" s="14"/>
      <c r="P87" s="1">
        <f>SUM(OSRRefP22_17x_0)</f>
        <v>600</v>
      </c>
      <c r="Q87" s="1"/>
      <c r="R87" s="5">
        <f t="shared" si="72"/>
        <v>7.8526322677747607E-3</v>
      </c>
      <c r="S87" s="1"/>
      <c r="T87" s="1">
        <f>SUM(OSRRefT22_17x_0)</f>
        <v>0</v>
      </c>
      <c r="U87" s="1"/>
      <c r="V87" s="5">
        <f t="shared" si="73"/>
        <v>0</v>
      </c>
      <c r="W87" s="1"/>
      <c r="X87" s="1">
        <f t="shared" si="74"/>
        <v>600</v>
      </c>
      <c r="Y87" s="1"/>
      <c r="Z87" s="5">
        <f t="shared" si="75"/>
        <v>0</v>
      </c>
    </row>
    <row r="88" spans="1:26" s="24" customFormat="1" hidden="1" outlineLevel="2" x14ac:dyDescent="0.3">
      <c r="A88" s="29"/>
      <c r="B88" s="11" t="str">
        <f>CONCATENATE("          ", "6274", " - ", "UTILITIES")</f>
        <v xml:space="preserve">          6274 - UTILITIES</v>
      </c>
      <c r="C88" s="11"/>
      <c r="D88" s="6">
        <v>100</v>
      </c>
      <c r="E88" s="2"/>
      <c r="F88" s="7">
        <f t="shared" si="68"/>
        <v>8.0139635300547664E-3</v>
      </c>
      <c r="G88" s="2"/>
      <c r="H88" s="6">
        <v>0</v>
      </c>
      <c r="I88" s="2"/>
      <c r="J88" s="7">
        <f t="shared" si="69"/>
        <v>0</v>
      </c>
      <c r="K88" s="2"/>
      <c r="L88" s="6">
        <f t="shared" si="70"/>
        <v>100</v>
      </c>
      <c r="M88" s="2"/>
      <c r="N88" s="7">
        <f t="shared" si="71"/>
        <v>0</v>
      </c>
      <c r="O88" s="11"/>
      <c r="P88" s="6">
        <v>600</v>
      </c>
      <c r="Q88" s="2"/>
      <c r="R88" s="7">
        <f t="shared" si="72"/>
        <v>7.8526322677747607E-3</v>
      </c>
      <c r="S88" s="2"/>
      <c r="T88" s="6">
        <v>0</v>
      </c>
      <c r="U88" s="2"/>
      <c r="V88" s="7">
        <f t="shared" si="73"/>
        <v>0</v>
      </c>
      <c r="W88" s="2"/>
      <c r="X88" s="6">
        <f t="shared" si="74"/>
        <v>600</v>
      </c>
      <c r="Y88" s="2"/>
      <c r="Z88" s="7">
        <f t="shared" si="75"/>
        <v>0</v>
      </c>
    </row>
    <row r="89" spans="1:26" s="55" customFormat="1" x14ac:dyDescent="0.3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3">
      <c r="A90" s="10"/>
      <c r="B90" s="25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10"/>
      <c r="B92" s="26" t="s">
        <v>277</v>
      </c>
      <c r="C92" s="26"/>
      <c r="D92" s="20">
        <f>+D23-D25+D90</f>
        <v>-17002.489999999998</v>
      </c>
      <c r="E92" s="13"/>
      <c r="F92" s="22">
        <f>IF(D$12=0,0,D92/D$12)</f>
        <v>-1.3625733478012085</v>
      </c>
      <c r="G92" s="13"/>
      <c r="H92" s="20">
        <f>+H23-H25+H90</f>
        <v>-20363.506037307689</v>
      </c>
      <c r="I92" s="13"/>
      <c r="J92" s="22">
        <f>IF(H$12=0,0,H92/H$12)</f>
        <v>-0.8881501237485907</v>
      </c>
      <c r="K92" s="16"/>
      <c r="L92" s="20">
        <f>+D92-H92</f>
        <v>3361.0160373076906</v>
      </c>
      <c r="M92" s="16"/>
      <c r="N92" s="22">
        <f>IF(H92=0,0,L92/H92)</f>
        <v>-0.16505095100765169</v>
      </c>
      <c r="O92" s="25"/>
      <c r="P92" s="20">
        <f>+P23-P25+P90</f>
        <v>-87903.160000000033</v>
      </c>
      <c r="Q92" s="13"/>
      <c r="R92" s="22">
        <f>IF(P$12=0,0,P92/P$12)</f>
        <v>-1.1504519844256131</v>
      </c>
      <c r="S92" s="13"/>
      <c r="T92" s="20">
        <f>+T23-T25+T90</f>
        <v>-129353.66243</v>
      </c>
      <c r="U92" s="13"/>
      <c r="V92" s="22">
        <f>IF(T$12=0,0,T92/T$12)</f>
        <v>-0.84229429932344879</v>
      </c>
      <c r="W92" s="16"/>
      <c r="X92" s="20">
        <f>+P92-T92</f>
        <v>41450.502429999964</v>
      </c>
      <c r="Y92" s="16"/>
      <c r="Z92" s="22">
        <f>IF(T92=0,0,X92/T92)</f>
        <v>-0.32044320702887708</v>
      </c>
    </row>
    <row r="93" spans="1:26" x14ac:dyDescent="0.3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">
      <c r="A94" s="52"/>
      <c r="B94" s="10" t="s">
        <v>128</v>
      </c>
      <c r="C94" s="10"/>
      <c r="D94" s="4">
        <v>1582.51</v>
      </c>
      <c r="E94" s="4"/>
      <c r="F94" s="12">
        <f>IF(D$12=0,0,D94/D$12)</f>
        <v>0.12682177425946969</v>
      </c>
      <c r="G94" s="4"/>
      <c r="H94" s="4">
        <v>3552</v>
      </c>
      <c r="I94" s="4"/>
      <c r="J94" s="12">
        <f>IF(H$12=0,0,H94/H$12)</f>
        <v>0.15491974877878575</v>
      </c>
      <c r="K94" s="4"/>
      <c r="L94" s="4">
        <f>+D94-H94</f>
        <v>-1969.49</v>
      </c>
      <c r="M94" s="4"/>
      <c r="N94" s="12">
        <f>IF(H94=0,0,L94/H94)</f>
        <v>-0.554473536036036</v>
      </c>
      <c r="O94" s="10"/>
      <c r="P94" s="4">
        <v>9197.24</v>
      </c>
      <c r="Q94" s="4"/>
      <c r="R94" s="12">
        <f>IF(P$12=0,0,P94/P$12)</f>
        <v>0.12037090599744789</v>
      </c>
      <c r="S94" s="4"/>
      <c r="T94" s="4">
        <v>19883</v>
      </c>
      <c r="U94" s="4"/>
      <c r="V94" s="12">
        <f>IF(T$12=0,0,T94/T$12)</f>
        <v>0.1294693728715334</v>
      </c>
      <c r="W94" s="4"/>
      <c r="X94" s="4">
        <f>+P94-T94</f>
        <v>-10685.76</v>
      </c>
      <c r="Y94" s="4"/>
      <c r="Z94" s="12">
        <f>IF(T94=0,0,X94/T94)</f>
        <v>-0.53743197706583512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126</v>
      </c>
      <c r="C96" s="26"/>
      <c r="D96" s="31">
        <f>+D92-D94</f>
        <v>-18584.999999999996</v>
      </c>
      <c r="E96" s="13"/>
      <c r="F96" s="30">
        <f>IF(D$12=0,0,D96/D$12)</f>
        <v>-1.489395122060678</v>
      </c>
      <c r="G96" s="13"/>
      <c r="H96" s="31">
        <f>+H92-H94</f>
        <v>-23915.506037307689</v>
      </c>
      <c r="I96" s="13"/>
      <c r="J96" s="30">
        <f>IF(H$12=0,0,H96/H$12)</f>
        <v>-1.0430698725273766</v>
      </c>
      <c r="K96" s="16"/>
      <c r="L96" s="31">
        <f>D96-H96</f>
        <v>5330.5060373076922</v>
      </c>
      <c r="M96" s="16"/>
      <c r="N96" s="30">
        <f>IF(H96=0,0,L96/H96)</f>
        <v>-0.22288911758723459</v>
      </c>
      <c r="O96" s="25"/>
      <c r="P96" s="31">
        <f>+P92-P94</f>
        <v>-97100.400000000038</v>
      </c>
      <c r="Q96" s="13"/>
      <c r="R96" s="30">
        <f>IF(P$12=0,0,P96/P$12)</f>
        <v>-1.270822890423061</v>
      </c>
      <c r="S96" s="13"/>
      <c r="T96" s="31">
        <f>+T92-T94</f>
        <v>-149236.66243</v>
      </c>
      <c r="U96" s="13"/>
      <c r="V96" s="30">
        <f>IF(T$12=0,0,T96/T$12)</f>
        <v>-0.97176367219498216</v>
      </c>
      <c r="W96" s="16"/>
      <c r="X96" s="31">
        <f>P96-T96</f>
        <v>52136.262429999959</v>
      </c>
      <c r="Y96" s="16"/>
      <c r="Z96" s="30">
        <f>IF(T96=0,0,X96/T96)</f>
        <v>-0.34935291088042569</v>
      </c>
    </row>
    <row r="97" spans="1:26" ht="15" thickTop="1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294</v>
      </c>
      <c r="C99" s="26"/>
      <c r="D99" s="35">
        <f>SUM(D96:D98)</f>
        <v>-18584.999999999996</v>
      </c>
      <c r="E99" s="13"/>
      <c r="F99" s="34">
        <f>IF(D$12=0,0,D99/D$12)</f>
        <v>-1.489395122060678</v>
      </c>
      <c r="G99" s="13"/>
      <c r="H99" s="35">
        <f>SUM(H96:H98)</f>
        <v>-23915.506037307689</v>
      </c>
      <c r="I99" s="13"/>
      <c r="J99" s="34">
        <f>IF(H$12=0,0,H99/H$12)</f>
        <v>-1.0430698725273766</v>
      </c>
      <c r="K99" s="16"/>
      <c r="L99" s="35">
        <f>+D99-H99</f>
        <v>5330.5060373076922</v>
      </c>
      <c r="M99" s="16"/>
      <c r="N99" s="34">
        <f>IF(H99=0,0,L99/H99)</f>
        <v>-0.22288911758723459</v>
      </c>
      <c r="O99" s="25"/>
      <c r="P99" s="35">
        <f>SUM(P96:P98)</f>
        <v>-97100.400000000038</v>
      </c>
      <c r="Q99" s="13"/>
      <c r="R99" s="34">
        <f>IF(P$12=0,0,P99/P$12)</f>
        <v>-1.270822890423061</v>
      </c>
      <c r="S99" s="13"/>
      <c r="T99" s="35">
        <f>SUM(T96:T98)</f>
        <v>-149236.66243</v>
      </c>
      <c r="U99" s="13"/>
      <c r="V99" s="34">
        <f>IF(T$12=0,0,T99/T$12)</f>
        <v>-0.97176367219498216</v>
      </c>
      <c r="W99" s="16"/>
      <c r="X99" s="35">
        <f>+P99-T99</f>
        <v>52136.262429999959</v>
      </c>
      <c r="Y99" s="16"/>
      <c r="Z99" s="34">
        <f>IF(T99=0,0,X99/T99)</f>
        <v>-0.34935291088042569</v>
      </c>
    </row>
    <row r="100" spans="1:26" ht="15" thickTop="1" x14ac:dyDescent="0.3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">
      <c r="A101" s="9"/>
      <c r="B101" s="61">
        <v>44575.842098032408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">
      <c r="A102" s="9"/>
      <c r="B102" s="62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3">
      <c r="A103" s="9"/>
      <c r="B103" s="53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3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","309", " - ", "Carts")</f>
        <v>Department 309 - Carts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852.91000000000008</v>
      </c>
      <c r="E18" s="21"/>
      <c r="F18" s="32">
        <f t="shared" ref="F18:F29" si="0">IF(D$12=0,0,D18/D$12)</f>
        <v>0</v>
      </c>
      <c r="G18" s="21"/>
      <c r="H18" s="21">
        <f>SUM(OSRRefH22x_0)</f>
        <v>588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264.91000000000008</v>
      </c>
      <c r="M18" s="4"/>
      <c r="N18" s="32">
        <f t="shared" ref="N18:N29" si="3">IF(H18=0,0,L18/H18)</f>
        <v>0.45052721088435388</v>
      </c>
      <c r="O18" s="10"/>
      <c r="P18" s="21">
        <f>SUM(OSRRefP22x_0)</f>
        <v>5312.68</v>
      </c>
      <c r="Q18" s="21"/>
      <c r="R18" s="32">
        <f t="shared" ref="R18:R29" si="4">IF(P$12=0,0,P18/P$12)</f>
        <v>0</v>
      </c>
      <c r="S18" s="21"/>
      <c r="T18" s="21">
        <f>SUM(OSRRefT22x_0)</f>
        <v>3528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1784.6800000000003</v>
      </c>
      <c r="Y18" s="4"/>
      <c r="Z18" s="32">
        <f t="shared" ref="Z18:Z29" si="7">IF(T18=0,0,X18/T18)</f>
        <v>0.50586167800453519</v>
      </c>
    </row>
    <row r="19" spans="1:26" s="28" customFormat="1" outlineLevel="1" collapsed="1" x14ac:dyDescent="0.3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</v>
      </c>
      <c r="I19" s="1"/>
      <c r="J19" s="5">
        <f t="shared" si="1"/>
        <v>0</v>
      </c>
      <c r="K19" s="1"/>
      <c r="L19" s="1">
        <f t="shared" si="2"/>
        <v>0.94000000000005457</v>
      </c>
      <c r="M19" s="1"/>
      <c r="N19" s="5">
        <f t="shared" si="3"/>
        <v>1.5986394557824057E-3</v>
      </c>
      <c r="O19" s="14"/>
      <c r="P19" s="1">
        <f>SUM(OSRRefP22_0x_0)</f>
        <v>3533.64</v>
      </c>
      <c r="Q19" s="1"/>
      <c r="R19" s="5">
        <f t="shared" si="4"/>
        <v>0</v>
      </c>
      <c r="S19" s="1"/>
      <c r="T19" s="1">
        <f>SUM(OSRRefT22_0x_0)</f>
        <v>3528</v>
      </c>
      <c r="U19" s="1"/>
      <c r="V19" s="5">
        <f t="shared" si="5"/>
        <v>0</v>
      </c>
      <c r="W19" s="1"/>
      <c r="X19" s="1">
        <f t="shared" si="6"/>
        <v>5.6399999999998727</v>
      </c>
      <c r="Y19" s="1"/>
      <c r="Z19" s="5">
        <f t="shared" si="7"/>
        <v>1.5986394557822767E-3</v>
      </c>
    </row>
    <row r="20" spans="1:26" s="24" customFormat="1" hidden="1" outlineLevel="2" x14ac:dyDescent="0.3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588.94000000000005</v>
      </c>
      <c r="E20" s="2"/>
      <c r="F20" s="7">
        <f t="shared" si="0"/>
        <v>0</v>
      </c>
      <c r="G20" s="2"/>
      <c r="H20" s="6">
        <v>588</v>
      </c>
      <c r="I20" s="2"/>
      <c r="J20" s="7">
        <f t="shared" si="1"/>
        <v>0</v>
      </c>
      <c r="K20" s="2"/>
      <c r="L20" s="6">
        <f t="shared" si="2"/>
        <v>0.94000000000005457</v>
      </c>
      <c r="M20" s="2"/>
      <c r="N20" s="7">
        <f t="shared" si="3"/>
        <v>1.5986394557824057E-3</v>
      </c>
      <c r="O20" s="11"/>
      <c r="P20" s="6">
        <v>3533.64</v>
      </c>
      <c r="Q20" s="2"/>
      <c r="R20" s="7">
        <f t="shared" si="4"/>
        <v>0</v>
      </c>
      <c r="S20" s="2"/>
      <c r="T20" s="6">
        <v>3528</v>
      </c>
      <c r="U20" s="2"/>
      <c r="V20" s="7">
        <f t="shared" si="5"/>
        <v>0</v>
      </c>
      <c r="W20" s="2"/>
      <c r="X20" s="6">
        <f t="shared" si="6"/>
        <v>5.6399999999998727</v>
      </c>
      <c r="Y20" s="2"/>
      <c r="Z20" s="7">
        <f t="shared" si="7"/>
        <v>1.5986394557822767E-3</v>
      </c>
    </row>
    <row r="21" spans="1:26" s="28" customFormat="1" outlineLevel="1" collapsed="1" x14ac:dyDescent="0.3">
      <c r="A21" s="27"/>
      <c r="B21" s="14" t="str">
        <f>CONCATENATE("     ","Equipment Rental                                  ")</f>
        <v xml:space="preserve">     Equipment Rental                                  </v>
      </c>
      <c r="C21" s="14"/>
      <c r="D21" s="1">
        <f>SUM(OSRRefD22_1x_0)</f>
        <v>30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30</v>
      </c>
      <c r="M21" s="1"/>
      <c r="N21" s="5">
        <f t="shared" si="3"/>
        <v>0</v>
      </c>
      <c r="O21" s="14"/>
      <c r="P21" s="1">
        <f>SUM(OSRRefP22_1x_0)</f>
        <v>30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30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"6351", " - ", "EQUIPMENT RENTAL")</f>
        <v xml:space="preserve">          6351 - EQUIPMENT RENTAL</v>
      </c>
      <c r="C22" s="11"/>
      <c r="D22" s="6">
        <v>30</v>
      </c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30</v>
      </c>
      <c r="M22" s="2"/>
      <c r="N22" s="7">
        <f t="shared" si="3"/>
        <v>0</v>
      </c>
      <c r="O22" s="11"/>
      <c r="P22" s="6">
        <v>30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30</v>
      </c>
      <c r="Y22" s="2"/>
      <c r="Z22" s="7">
        <f t="shared" si="7"/>
        <v>0</v>
      </c>
    </row>
    <row r="23" spans="1:26" s="28" customFormat="1" outlineLevel="1" collapsed="1" x14ac:dyDescent="0.3">
      <c r="A23" s="27"/>
      <c r="B23" s="14" t="str">
        <f>CONCATENATE("     ","General                                           ")</f>
        <v xml:space="preserve">     General 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435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435</v>
      </c>
      <c r="Y23" s="1"/>
      <c r="Z23" s="5">
        <f t="shared" si="7"/>
        <v>0</v>
      </c>
    </row>
    <row r="24" spans="1:26" s="24" customFormat="1" hidden="1" outlineLevel="2" x14ac:dyDescent="0.3">
      <c r="A24" s="29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435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435</v>
      </c>
      <c r="Y24" s="2"/>
      <c r="Z24" s="7">
        <f t="shared" si="7"/>
        <v>0</v>
      </c>
    </row>
    <row r="25" spans="1:26" s="28" customFormat="1" outlineLevel="1" collapsed="1" x14ac:dyDescent="0.3">
      <c r="A25" s="27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49.93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49.93</v>
      </c>
      <c r="M25" s="1"/>
      <c r="N25" s="5">
        <f t="shared" si="3"/>
        <v>0</v>
      </c>
      <c r="O25" s="14"/>
      <c r="P25" s="1">
        <f>SUM(OSRRefP22_3x_0)</f>
        <v>97.83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97.83</v>
      </c>
      <c r="Y25" s="1"/>
      <c r="Z25" s="5">
        <f t="shared" si="7"/>
        <v>0</v>
      </c>
    </row>
    <row r="26" spans="1:26" s="24" customFormat="1" hidden="1" outlineLevel="2" x14ac:dyDescent="0.3">
      <c r="A26" s="29"/>
      <c r="B26" s="11" t="str">
        <f>CONCATENATE("          ", "6373", " - ", "MAINTENANCE CONTRACTS")</f>
        <v xml:space="preserve">          6373 - MAINTENANCE CONTRACTS</v>
      </c>
      <c r="C26" s="11"/>
      <c r="D26" s="6">
        <v>49.93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49.93</v>
      </c>
      <c r="M26" s="2"/>
      <c r="N26" s="7">
        <f t="shared" si="3"/>
        <v>0</v>
      </c>
      <c r="O26" s="11"/>
      <c r="P26" s="6">
        <v>97.83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97.83</v>
      </c>
      <c r="Y26" s="2"/>
      <c r="Z26" s="7">
        <f t="shared" si="7"/>
        <v>0</v>
      </c>
    </row>
    <row r="27" spans="1:26" s="28" customFormat="1" outlineLevel="1" collapsed="1" x14ac:dyDescent="0.3">
      <c r="A27" s="27"/>
      <c r="B27" s="14" t="str">
        <f>CONCATENATE("     ","Services                                          ")</f>
        <v xml:space="preserve">     Services                                          </v>
      </c>
      <c r="C27" s="14"/>
      <c r="D27" s="1">
        <f>SUM(OSRRefD22_4x_0)</f>
        <v>151.85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151.85</v>
      </c>
      <c r="M27" s="1"/>
      <c r="N27" s="5">
        <f t="shared" si="3"/>
        <v>0</v>
      </c>
      <c r="O27" s="14"/>
      <c r="P27" s="1">
        <f>SUM(OSRRefP22_4x_0)</f>
        <v>1034.02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1034.02</v>
      </c>
      <c r="Y27" s="1"/>
      <c r="Z27" s="5">
        <f t="shared" si="7"/>
        <v>0</v>
      </c>
    </row>
    <row r="28" spans="1:26" s="24" customFormat="1" hidden="1" outlineLevel="2" x14ac:dyDescent="0.3">
      <c r="A28" s="29"/>
      <c r="B28" s="11" t="str">
        <f>CONCATENATE("          ", "6282", " - ", "JANITORIAL/EXTERMINATOR EXPENS")</f>
        <v xml:space="preserve">          6282 - JANITORIAL/EXTERMINATOR EXPENS</v>
      </c>
      <c r="C28" s="11"/>
      <c r="D28" s="6">
        <v>151.85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151.85</v>
      </c>
      <c r="M28" s="2"/>
      <c r="N28" s="7">
        <f t="shared" si="3"/>
        <v>0</v>
      </c>
      <c r="O28" s="11"/>
      <c r="P28" s="6">
        <v>911.1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911.1</v>
      </c>
      <c r="Y28" s="2"/>
      <c r="Z28" s="7">
        <f t="shared" si="7"/>
        <v>0</v>
      </c>
    </row>
    <row r="29" spans="1:26" s="24" customFormat="1" hidden="1" outlineLevel="2" x14ac:dyDescent="0.3">
      <c r="A29" s="29"/>
      <c r="B29" s="11" t="str">
        <f>CONCATENATE("          ", "6285", " - ", "JANITORIAL SERVICES")</f>
        <v xml:space="preserve">          6285 - JANITORIAL SERVICES</v>
      </c>
      <c r="C29" s="11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1"/>
      <c r="P29" s="6">
        <v>122.92</v>
      </c>
      <c r="Q29" s="2"/>
      <c r="R29" s="7">
        <f t="shared" si="4"/>
        <v>0</v>
      </c>
      <c r="S29" s="2"/>
      <c r="T29" s="6"/>
      <c r="U29" s="2"/>
      <c r="V29" s="7">
        <f t="shared" si="5"/>
        <v>0</v>
      </c>
      <c r="W29" s="2"/>
      <c r="X29" s="6">
        <f t="shared" si="6"/>
        <v>122.92</v>
      </c>
      <c r="Y29" s="2"/>
      <c r="Z29" s="7">
        <f t="shared" si="7"/>
        <v>0</v>
      </c>
    </row>
    <row r="30" spans="1:26" s="28" customFormat="1" outlineLevel="1" collapsed="1" x14ac:dyDescent="0.3">
      <c r="A30" s="27"/>
      <c r="B30" s="14" t="str">
        <f>CONCATENATE("     ","Supplies                                          ")</f>
        <v xml:space="preserve">     Supplies                                          </v>
      </c>
      <c r="C30" s="14"/>
      <c r="D30" s="1">
        <f>SUM(OSRRefD22_5x_0)</f>
        <v>2.19</v>
      </c>
      <c r="E30" s="1"/>
      <c r="F30" s="5">
        <f t="shared" ref="F30:F33" si="8">IF(D$12=0,0,D30/D$12)</f>
        <v>0</v>
      </c>
      <c r="G30" s="1"/>
      <c r="H30" s="1">
        <f>SUM(OSRRefH22_5x_0)</f>
        <v>0</v>
      </c>
      <c r="I30" s="1"/>
      <c r="J30" s="5">
        <f t="shared" ref="J30:J33" si="9">IF(H$12=0,0,H30/H$12)</f>
        <v>0</v>
      </c>
      <c r="K30" s="1"/>
      <c r="L30" s="1">
        <f t="shared" ref="L30:L33" si="10">+D30-H30</f>
        <v>2.19</v>
      </c>
      <c r="M30" s="1"/>
      <c r="N30" s="5">
        <f t="shared" ref="N30:N33" si="11">IF(H30=0,0,L30/H30)</f>
        <v>0</v>
      </c>
      <c r="O30" s="14"/>
      <c r="P30" s="1">
        <f>SUM(OSRRefP22_5x_0)</f>
        <v>2.19</v>
      </c>
      <c r="Q30" s="1"/>
      <c r="R30" s="5">
        <f t="shared" ref="R30:R33" si="12">IF(P$12=0,0,P30/P$12)</f>
        <v>0</v>
      </c>
      <c r="S30" s="1"/>
      <c r="T30" s="1">
        <f>SUM(OSRRefT22_5x_0)</f>
        <v>0</v>
      </c>
      <c r="U30" s="1"/>
      <c r="V30" s="5">
        <f t="shared" ref="V30:V33" si="13">IF(T$12=0,0,T30/T$12)</f>
        <v>0</v>
      </c>
      <c r="W30" s="1"/>
      <c r="X30" s="1">
        <f t="shared" ref="X30:X33" si="14">+P30-T30</f>
        <v>2.19</v>
      </c>
      <c r="Y30" s="1"/>
      <c r="Z30" s="5">
        <f t="shared" ref="Z30:Z33" si="15">IF(T30=0,0,X30/T30)</f>
        <v>0</v>
      </c>
    </row>
    <row r="31" spans="1:26" s="24" customFormat="1" hidden="1" outlineLevel="2" x14ac:dyDescent="0.3">
      <c r="A31" s="29"/>
      <c r="B31" s="11" t="str">
        <f>CONCATENATE("          ", "6241", " - ", "OFFICE EXPENSE")</f>
        <v xml:space="preserve">          6241 - OFFICE EXPENSE</v>
      </c>
      <c r="C31" s="11"/>
      <c r="D31" s="6">
        <v>2.19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2.19</v>
      </c>
      <c r="M31" s="2"/>
      <c r="N31" s="7">
        <f t="shared" si="11"/>
        <v>0</v>
      </c>
      <c r="O31" s="11"/>
      <c r="P31" s="6">
        <v>2.19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2.19</v>
      </c>
      <c r="Y31" s="2"/>
      <c r="Z31" s="7">
        <f t="shared" si="15"/>
        <v>0</v>
      </c>
    </row>
    <row r="32" spans="1:26" s="28" customFormat="1" outlineLevel="1" collapsed="1" x14ac:dyDescent="0.3">
      <c r="A32" s="27"/>
      <c r="B32" s="14" t="str">
        <f>CONCATENATE("     ","Telephone/Data Lines                              ")</f>
        <v xml:space="preserve">     Telephone/Data Lines                              </v>
      </c>
      <c r="C32" s="14"/>
      <c r="D32" s="1">
        <f>SUM(OSRRefD22_6x_0)</f>
        <v>30</v>
      </c>
      <c r="E32" s="1"/>
      <c r="F32" s="5">
        <f t="shared" si="8"/>
        <v>0</v>
      </c>
      <c r="G32" s="1"/>
      <c r="H32" s="1">
        <f>SUM(OSRRefH22_6x_0)</f>
        <v>0</v>
      </c>
      <c r="I32" s="1"/>
      <c r="J32" s="5">
        <f t="shared" si="9"/>
        <v>0</v>
      </c>
      <c r="K32" s="1"/>
      <c r="L32" s="1">
        <f t="shared" si="10"/>
        <v>30</v>
      </c>
      <c r="M32" s="1"/>
      <c r="N32" s="5">
        <f t="shared" si="11"/>
        <v>0</v>
      </c>
      <c r="O32" s="14"/>
      <c r="P32" s="1">
        <f>SUM(OSRRefP22_6x_0)</f>
        <v>180</v>
      </c>
      <c r="Q32" s="1"/>
      <c r="R32" s="5">
        <f t="shared" si="12"/>
        <v>0</v>
      </c>
      <c r="S32" s="1"/>
      <c r="T32" s="1">
        <f>SUM(OSRRefT22_6x_0)</f>
        <v>0</v>
      </c>
      <c r="U32" s="1"/>
      <c r="V32" s="5">
        <f t="shared" si="13"/>
        <v>0</v>
      </c>
      <c r="W32" s="1"/>
      <c r="X32" s="1">
        <f t="shared" si="14"/>
        <v>180</v>
      </c>
      <c r="Y32" s="1"/>
      <c r="Z32" s="5">
        <f t="shared" si="15"/>
        <v>0</v>
      </c>
    </row>
    <row r="33" spans="1:26" s="24" customFormat="1" hidden="1" outlineLevel="2" x14ac:dyDescent="0.3">
      <c r="A33" s="29"/>
      <c r="B33" s="11" t="str">
        <f>CONCATENATE("          ", "6309", " - ", "TELEPHONE")</f>
        <v xml:space="preserve">          6309 - TELEPHONE</v>
      </c>
      <c r="C33" s="11"/>
      <c r="D33" s="6">
        <v>30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30</v>
      </c>
      <c r="M33" s="2"/>
      <c r="N33" s="7">
        <f t="shared" si="11"/>
        <v>0</v>
      </c>
      <c r="O33" s="11"/>
      <c r="P33" s="6">
        <v>180</v>
      </c>
      <c r="Q33" s="2"/>
      <c r="R33" s="7">
        <f t="shared" si="12"/>
        <v>0</v>
      </c>
      <c r="S33" s="2"/>
      <c r="T33" s="6"/>
      <c r="U33" s="2"/>
      <c r="V33" s="7">
        <f t="shared" si="13"/>
        <v>0</v>
      </c>
      <c r="W33" s="2"/>
      <c r="X33" s="6">
        <f t="shared" si="14"/>
        <v>180</v>
      </c>
      <c r="Y33" s="2"/>
      <c r="Z33" s="7">
        <f t="shared" si="15"/>
        <v>0</v>
      </c>
    </row>
    <row r="34" spans="1:26" s="55" customFormat="1" x14ac:dyDescent="0.3">
      <c r="A34" s="36"/>
      <c r="B34" s="36"/>
      <c r="C34" s="36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6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3">
      <c r="A35" s="10"/>
      <c r="B35" s="25" t="s">
        <v>293</v>
      </c>
      <c r="C35" s="10"/>
      <c r="D35" s="4">
        <f>SUM(0)</f>
        <v>0</v>
      </c>
      <c r="E35" s="4"/>
      <c r="F35" s="12">
        <f>IF(D$12=0,0,D35/D$12)</f>
        <v>0</v>
      </c>
      <c r="G35" s="4"/>
      <c r="H35" s="4">
        <f>SUM(0)</f>
        <v>0</v>
      </c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>
        <f>SUM(0)</f>
        <v>0</v>
      </c>
      <c r="Q35" s="4"/>
      <c r="R35" s="12">
        <f>IF(P$12=0,0,P35/P$12)</f>
        <v>0</v>
      </c>
      <c r="S35" s="4"/>
      <c r="T35" s="4">
        <f>SUM(0)</f>
        <v>0</v>
      </c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3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3">
      <c r="A37" s="10"/>
      <c r="B37" s="26" t="s">
        <v>277</v>
      </c>
      <c r="C37" s="26"/>
      <c r="D37" s="20">
        <f>+D16-D18+D35</f>
        <v>-852.91000000000008</v>
      </c>
      <c r="E37" s="13"/>
      <c r="F37" s="22">
        <f>IF(D$12=0,0,D37/D$12)</f>
        <v>0</v>
      </c>
      <c r="G37" s="13"/>
      <c r="H37" s="20">
        <f>+H16-H18+H35</f>
        <v>-588</v>
      </c>
      <c r="I37" s="13"/>
      <c r="J37" s="22">
        <f>IF(H$12=0,0,H37/H$12)</f>
        <v>0</v>
      </c>
      <c r="K37" s="16"/>
      <c r="L37" s="20">
        <f>+D37-H37</f>
        <v>-264.91000000000008</v>
      </c>
      <c r="M37" s="16"/>
      <c r="N37" s="22">
        <f>IF(H37=0,0,L37/H37)</f>
        <v>0.45052721088435388</v>
      </c>
      <c r="O37" s="25"/>
      <c r="P37" s="20">
        <f>+P16-P18+P35</f>
        <v>-5312.68</v>
      </c>
      <c r="Q37" s="13"/>
      <c r="R37" s="22">
        <f>IF(P$12=0,0,P37/P$12)</f>
        <v>0</v>
      </c>
      <c r="S37" s="13"/>
      <c r="T37" s="20">
        <f>+T16-T18+T35</f>
        <v>-3528</v>
      </c>
      <c r="U37" s="13"/>
      <c r="V37" s="22">
        <f>IF(T$12=0,0,T37/T$12)</f>
        <v>0</v>
      </c>
      <c r="W37" s="16"/>
      <c r="X37" s="20">
        <f>+P37-T37</f>
        <v>-1784.6800000000003</v>
      </c>
      <c r="Y37" s="16"/>
      <c r="Z37" s="22">
        <f>IF(T37=0,0,X37/T37)</f>
        <v>0.50586167800453519</v>
      </c>
    </row>
    <row r="38" spans="1:26" x14ac:dyDescent="0.3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3">
      <c r="A39" s="52"/>
      <c r="B39" s="10" t="s">
        <v>128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3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" thickBot="1" x14ac:dyDescent="0.35">
      <c r="A41" s="10"/>
      <c r="B41" s="26" t="s">
        <v>126</v>
      </c>
      <c r="C41" s="26"/>
      <c r="D41" s="31">
        <f>+D37-D39</f>
        <v>-852.91000000000008</v>
      </c>
      <c r="E41" s="13"/>
      <c r="F41" s="30">
        <f>IF(D$12=0,0,D41/D$12)</f>
        <v>0</v>
      </c>
      <c r="G41" s="13"/>
      <c r="H41" s="31">
        <f>+H37-H39</f>
        <v>-588</v>
      </c>
      <c r="I41" s="13"/>
      <c r="J41" s="30">
        <f>IF(H$12=0,0,H41/H$12)</f>
        <v>0</v>
      </c>
      <c r="K41" s="16"/>
      <c r="L41" s="31">
        <f>D41-H41</f>
        <v>-264.91000000000008</v>
      </c>
      <c r="M41" s="16"/>
      <c r="N41" s="30">
        <f>IF(H41=0,0,L41/H41)</f>
        <v>0.45052721088435388</v>
      </c>
      <c r="O41" s="25"/>
      <c r="P41" s="31">
        <f>+P37-P39</f>
        <v>-5312.68</v>
      </c>
      <c r="Q41" s="13"/>
      <c r="R41" s="30">
        <f>IF(P$12=0,0,P41/P$12)</f>
        <v>0</v>
      </c>
      <c r="S41" s="13"/>
      <c r="T41" s="31">
        <f>+T37-T39</f>
        <v>-3528</v>
      </c>
      <c r="U41" s="13"/>
      <c r="V41" s="30">
        <f>IF(T$12=0,0,T41/T$12)</f>
        <v>0</v>
      </c>
      <c r="W41" s="16"/>
      <c r="X41" s="31">
        <f>P41-T41</f>
        <v>-1784.6800000000003</v>
      </c>
      <c r="Y41" s="16"/>
      <c r="Z41" s="30">
        <f>IF(T41=0,0,X41/T41)</f>
        <v>0.50586167800453519</v>
      </c>
    </row>
    <row r="42" spans="1:26" ht="15" thickTop="1" x14ac:dyDescent="0.3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3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" thickBot="1" x14ac:dyDescent="0.35">
      <c r="A44" s="10"/>
      <c r="B44" s="26" t="s">
        <v>294</v>
      </c>
      <c r="C44" s="26"/>
      <c r="D44" s="35">
        <f>SUM(D41:D43)</f>
        <v>-852.91000000000008</v>
      </c>
      <c r="E44" s="13"/>
      <c r="F44" s="34">
        <f>IF(D$12=0,0,D44/D$12)</f>
        <v>0</v>
      </c>
      <c r="G44" s="13"/>
      <c r="H44" s="35">
        <f>SUM(H41:H43)</f>
        <v>-588</v>
      </c>
      <c r="I44" s="13"/>
      <c r="J44" s="34">
        <f>IF(H$12=0,0,H44/H$12)</f>
        <v>0</v>
      </c>
      <c r="K44" s="16"/>
      <c r="L44" s="35">
        <f>+D44-H44</f>
        <v>-264.91000000000008</v>
      </c>
      <c r="M44" s="16"/>
      <c r="N44" s="34">
        <f>IF(H44=0,0,L44/H44)</f>
        <v>0.45052721088435388</v>
      </c>
      <c r="O44" s="25"/>
      <c r="P44" s="35">
        <f>SUM(P41:P43)</f>
        <v>-5312.68</v>
      </c>
      <c r="Q44" s="13"/>
      <c r="R44" s="34">
        <f>IF(P$12=0,0,P44/P$12)</f>
        <v>0</v>
      </c>
      <c r="S44" s="13"/>
      <c r="T44" s="35">
        <f>SUM(T41:T43)</f>
        <v>-3528</v>
      </c>
      <c r="U44" s="13"/>
      <c r="V44" s="34">
        <f>IF(T$12=0,0,T44/T$12)</f>
        <v>0</v>
      </c>
      <c r="W44" s="16"/>
      <c r="X44" s="35">
        <f>+P44-T44</f>
        <v>-1784.6800000000003</v>
      </c>
      <c r="Y44" s="16"/>
      <c r="Z44" s="34">
        <f>IF(T44=0,0,X44/T44)</f>
        <v>0.50586167800453519</v>
      </c>
    </row>
    <row r="45" spans="1:26" ht="15" thickTop="1" x14ac:dyDescent="0.3">
      <c r="A45" s="9"/>
      <c r="C45" s="9"/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3">
      <c r="A46" s="9"/>
      <c r="B46" s="61">
        <v>44575.842125659721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3">
      <c r="A47" s="9"/>
      <c r="B47" s="62" t="s">
        <v>56</v>
      </c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3">
      <c r="A48" s="9"/>
      <c r="B48" s="53"/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4:24" x14ac:dyDescent="0.3"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","321", " - ", "Corner Market")</f>
        <v>Department 321 - Corner Market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6800</v>
      </c>
      <c r="I12" s="4"/>
      <c r="J12" s="12"/>
      <c r="K12" s="4"/>
      <c r="L12" s="4">
        <f t="shared" ref="L12:L14" si="0">+D12-H12</f>
        <v>-6800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47462</v>
      </c>
      <c r="U12" s="4"/>
      <c r="V12" s="12"/>
      <c r="W12" s="4"/>
      <c r="X12" s="4">
        <f t="shared" ref="X12:X14" si="2">+P12-T12</f>
        <v>-47462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1579</v>
      </c>
      <c r="I13" s="2"/>
      <c r="J13" s="19"/>
      <c r="K13" s="2"/>
      <c r="L13" s="2">
        <f t="shared" si="0"/>
        <v>-1579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11021</v>
      </c>
      <c r="U13" s="2"/>
      <c r="V13" s="19"/>
      <c r="W13" s="2"/>
      <c r="X13" s="2">
        <f t="shared" si="2"/>
        <v>-11021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5221</v>
      </c>
      <c r="I14" s="2"/>
      <c r="J14" s="19"/>
      <c r="K14" s="2"/>
      <c r="L14" s="2">
        <f t="shared" si="0"/>
        <v>-5221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36441</v>
      </c>
      <c r="U14" s="2"/>
      <c r="V14" s="19"/>
      <c r="W14" s="2"/>
      <c r="X14" s="2">
        <f t="shared" si="2"/>
        <v>-36441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3332</v>
      </c>
      <c r="I16" s="4"/>
      <c r="J16" s="12">
        <f t="shared" ref="J16:J18" si="7">IF(H$12=0,0,H16/H$12)</f>
        <v>0.49</v>
      </c>
      <c r="K16" s="4"/>
      <c r="L16" s="4">
        <f t="shared" ref="L16:L18" si="8">+D16-H16</f>
        <v>-3332</v>
      </c>
      <c r="M16" s="4"/>
      <c r="N16" s="12">
        <f t="shared" ref="N16:N18" si="9">IF(H16=0,0,L16/H16)</f>
        <v>-1</v>
      </c>
      <c r="O16" s="10"/>
      <c r="P16" s="4">
        <f>SUM(OSRRefP16x_0)</f>
        <v>8639</v>
      </c>
      <c r="Q16" s="4"/>
      <c r="R16" s="12">
        <f t="shared" ref="R16:R18" si="10">IF(P$12=0,0,P16/P$12)</f>
        <v>0</v>
      </c>
      <c r="S16" s="4"/>
      <c r="T16" s="4">
        <f>SUM(OSRRefT16x_0)</f>
        <v>23256</v>
      </c>
      <c r="U16" s="4"/>
      <c r="V16" s="12">
        <f t="shared" ref="V16:V18" si="11">IF(T$12=0,0,T16/T$12)</f>
        <v>0.48999199359487589</v>
      </c>
      <c r="W16" s="4"/>
      <c r="X16" s="4">
        <f t="shared" ref="X16:X18" si="12">+P16-T16</f>
        <v>-14617</v>
      </c>
      <c r="Y16" s="4"/>
      <c r="Z16" s="12">
        <f t="shared" ref="Z16:Z18" si="13">IF(T16=0,0,X16/T16)</f>
        <v>-0.62852597179222569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3332</v>
      </c>
      <c r="I17" s="2"/>
      <c r="J17" s="19">
        <f t="shared" si="7"/>
        <v>0.49</v>
      </c>
      <c r="K17" s="2"/>
      <c r="L17" s="2">
        <f t="shared" si="8"/>
        <v>-3332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23256</v>
      </c>
      <c r="U17" s="2"/>
      <c r="V17" s="19">
        <f t="shared" si="11"/>
        <v>0.48999199359487589</v>
      </c>
      <c r="W17" s="2"/>
      <c r="X17" s="2">
        <f t="shared" si="12"/>
        <v>-23256</v>
      </c>
      <c r="Y17" s="2"/>
      <c r="Z17" s="19">
        <f t="shared" si="13"/>
        <v>-1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8639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8639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108</v>
      </c>
      <c r="C20" s="26"/>
      <c r="D20" s="20">
        <f>D12-D16</f>
        <v>0</v>
      </c>
      <c r="E20" s="13"/>
      <c r="F20" s="22">
        <f>IF(D$12=0,0,D20/D$12)</f>
        <v>0</v>
      </c>
      <c r="G20" s="13"/>
      <c r="H20" s="20">
        <f>H12-H16</f>
        <v>3468</v>
      </c>
      <c r="I20" s="13"/>
      <c r="J20" s="22">
        <f>IF(H$12=0,0,H20/H$12)</f>
        <v>0.51</v>
      </c>
      <c r="K20" s="16"/>
      <c r="L20" s="20">
        <f>+D20-H20</f>
        <v>-3468</v>
      </c>
      <c r="M20" s="16"/>
      <c r="N20" s="22">
        <f>IF(H20=0,0,L20/H20)</f>
        <v>-1</v>
      </c>
      <c r="O20" s="25"/>
      <c r="P20" s="20">
        <f>P12-P16</f>
        <v>-8639</v>
      </c>
      <c r="Q20" s="13"/>
      <c r="R20" s="22">
        <f>IF(P$12=0,0,P20/P$12)</f>
        <v>0</v>
      </c>
      <c r="S20" s="13"/>
      <c r="T20" s="20">
        <f>T12-T16</f>
        <v>24206</v>
      </c>
      <c r="U20" s="13"/>
      <c r="V20" s="22">
        <f>IF(T$12=0,0,T20/T$12)</f>
        <v>0.51000800640512411</v>
      </c>
      <c r="W20" s="16"/>
      <c r="X20" s="20">
        <f>+P20-T20</f>
        <v>-32845</v>
      </c>
      <c r="Y20" s="16"/>
      <c r="Z20" s="22">
        <f>IF(T20=0,0,X20/T20)</f>
        <v>-1.3568949847145335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1">
        <f>SUM(OSRRefD22x_0)</f>
        <v>5106.0700000000006</v>
      </c>
      <c r="E22" s="21"/>
      <c r="F22" s="32">
        <f t="shared" ref="F22:F32" si="14">IF(D$12=0,0,D22/D$12)</f>
        <v>0</v>
      </c>
      <c r="G22" s="21"/>
      <c r="H22" s="21">
        <f>SUM(OSRRefH22x_0)</f>
        <v>4682.2235249999994</v>
      </c>
      <c r="I22" s="21"/>
      <c r="J22" s="32">
        <f t="shared" ref="J22:J32" si="15">IF(H$12=0,0,H22/H$12)</f>
        <v>0.68856228308823519</v>
      </c>
      <c r="K22" s="4"/>
      <c r="L22" s="21">
        <f t="shared" ref="L22:L32" si="16">+D22-H22</f>
        <v>423.84647500000119</v>
      </c>
      <c r="M22" s="4"/>
      <c r="N22" s="32">
        <f t="shared" ref="N22:N32" si="17">IF(H22=0,0,L22/H22)</f>
        <v>9.052247777940102E-2</v>
      </c>
      <c r="O22" s="10"/>
      <c r="P22" s="21">
        <f>SUM(OSRRefP22x_0)</f>
        <v>12591.73</v>
      </c>
      <c r="Q22" s="21"/>
      <c r="R22" s="32">
        <f t="shared" ref="R22:R32" si="18">IF(P$12=0,0,P22/P$12)</f>
        <v>0</v>
      </c>
      <c r="S22" s="21"/>
      <c r="T22" s="21">
        <f>SUM(OSRRefT22x_0)</f>
        <v>40752.876449999996</v>
      </c>
      <c r="U22" s="21"/>
      <c r="V22" s="32">
        <f t="shared" ref="V22:V32" si="19">IF(T$12=0,0,T22/T$12)</f>
        <v>0.85864220745017061</v>
      </c>
      <c r="W22" s="4"/>
      <c r="X22" s="21">
        <f t="shared" ref="X22:X32" si="20">+P22-T22</f>
        <v>-28161.146449999997</v>
      </c>
      <c r="Y22" s="4"/>
      <c r="Z22" s="32">
        <f t="shared" ref="Z22:Z32" si="21">IF(T22=0,0,X22/T22)</f>
        <v>-0.6910223008319698</v>
      </c>
    </row>
    <row r="23" spans="1:26" s="28" customFormat="1" outlineLevel="1" collapsed="1" x14ac:dyDescent="0.3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868.76</v>
      </c>
      <c r="E23" s="1"/>
      <c r="F23" s="5">
        <f t="shared" si="14"/>
        <v>0</v>
      </c>
      <c r="G23" s="1"/>
      <c r="H23" s="1">
        <f>SUM(OSRRefH22_0x_0)</f>
        <v>201.89852500000001</v>
      </c>
      <c r="I23" s="1"/>
      <c r="J23" s="5">
        <f t="shared" si="15"/>
        <v>2.9690959558823532E-2</v>
      </c>
      <c r="K23" s="1"/>
      <c r="L23" s="1">
        <f t="shared" si="16"/>
        <v>666.86147499999993</v>
      </c>
      <c r="M23" s="1"/>
      <c r="N23" s="5">
        <f t="shared" si="17"/>
        <v>3.3029536743767687</v>
      </c>
      <c r="O23" s="14"/>
      <c r="P23" s="1">
        <f>SUM(OSRRefP22_0x_0)</f>
        <v>1186.9000000000001</v>
      </c>
      <c r="Q23" s="1"/>
      <c r="R23" s="5">
        <f t="shared" si="18"/>
        <v>0</v>
      </c>
      <c r="S23" s="1"/>
      <c r="T23" s="1">
        <f>SUM(OSRRefT22_0x_0)</f>
        <v>2239.0164500000001</v>
      </c>
      <c r="U23" s="1"/>
      <c r="V23" s="5">
        <f t="shared" si="19"/>
        <v>4.717492836374363E-2</v>
      </c>
      <c r="W23" s="1"/>
      <c r="X23" s="1">
        <f t="shared" si="20"/>
        <v>-1052.11645</v>
      </c>
      <c r="Y23" s="1"/>
      <c r="Z23" s="5">
        <f t="shared" si="21"/>
        <v>-0.4699011702214157</v>
      </c>
    </row>
    <row r="24" spans="1:26" s="24" customFormat="1" hidden="1" outlineLevel="2" x14ac:dyDescent="0.3">
      <c r="A24" s="29"/>
      <c r="B24" s="11" t="str">
        <f>CONCATENATE("          ", "6111", " - ", "F.I.C.A.")</f>
        <v xml:space="preserve">          6111 - F.I.C.A.</v>
      </c>
      <c r="C24" s="11"/>
      <c r="D24" s="6">
        <v>235.51</v>
      </c>
      <c r="E24" s="2"/>
      <c r="F24" s="7">
        <f t="shared" si="14"/>
        <v>0</v>
      </c>
      <c r="G24" s="2"/>
      <c r="H24" s="6">
        <v>56.823524999999997</v>
      </c>
      <c r="I24" s="2"/>
      <c r="J24" s="7">
        <f t="shared" si="15"/>
        <v>8.3564007352941172E-3</v>
      </c>
      <c r="K24" s="2"/>
      <c r="L24" s="6">
        <f t="shared" si="16"/>
        <v>178.686475</v>
      </c>
      <c r="M24" s="2"/>
      <c r="N24" s="7">
        <f t="shared" si="17"/>
        <v>3.144586243109698</v>
      </c>
      <c r="O24" s="11"/>
      <c r="P24" s="6">
        <v>278.14</v>
      </c>
      <c r="Q24" s="2"/>
      <c r="R24" s="7">
        <f t="shared" si="18"/>
        <v>0</v>
      </c>
      <c r="S24" s="2"/>
      <c r="T24" s="6">
        <v>724.35645</v>
      </c>
      <c r="U24" s="2"/>
      <c r="V24" s="7">
        <f t="shared" si="19"/>
        <v>1.5261818928827272E-2</v>
      </c>
      <c r="W24" s="2"/>
      <c r="X24" s="6">
        <f t="shared" si="20"/>
        <v>-446.21645000000001</v>
      </c>
      <c r="Y24" s="2"/>
      <c r="Z24" s="7">
        <f t="shared" si="21"/>
        <v>-0.61601777688319059</v>
      </c>
    </row>
    <row r="25" spans="1:26" s="24" customFormat="1" hidden="1" outlineLevel="2" x14ac:dyDescent="0.3">
      <c r="A25" s="29"/>
      <c r="B25" s="11" t="str">
        <f>CONCATENATE("          ", "6112", " - ", "COMPENSATION INSURANCE")</f>
        <v xml:space="preserve">          6112 - COMPENSATION INSURANCE</v>
      </c>
      <c r="C25" s="11"/>
      <c r="D25" s="6">
        <v>45.46</v>
      </c>
      <c r="E25" s="2"/>
      <c r="F25" s="7">
        <f t="shared" si="14"/>
        <v>0</v>
      </c>
      <c r="G25" s="2"/>
      <c r="H25" s="6">
        <v>78.547749999999994</v>
      </c>
      <c r="I25" s="2"/>
      <c r="J25" s="7">
        <f t="shared" si="15"/>
        <v>1.1551139705882353E-2</v>
      </c>
      <c r="K25" s="2"/>
      <c r="L25" s="6">
        <f t="shared" si="16"/>
        <v>-33.087749999999993</v>
      </c>
      <c r="M25" s="2"/>
      <c r="N25" s="7">
        <f t="shared" si="17"/>
        <v>-0.4212437657348555</v>
      </c>
      <c r="O25" s="11"/>
      <c r="P25" s="6">
        <v>62.27</v>
      </c>
      <c r="Q25" s="2"/>
      <c r="R25" s="7">
        <f t="shared" si="18"/>
        <v>0</v>
      </c>
      <c r="S25" s="2"/>
      <c r="T25" s="6">
        <v>820.08019999999999</v>
      </c>
      <c r="U25" s="2"/>
      <c r="V25" s="7">
        <f t="shared" si="19"/>
        <v>1.7278669251190426E-2</v>
      </c>
      <c r="W25" s="2"/>
      <c r="X25" s="6">
        <f t="shared" si="20"/>
        <v>-757.81020000000001</v>
      </c>
      <c r="Y25" s="2"/>
      <c r="Z25" s="7">
        <f t="shared" si="21"/>
        <v>-0.92406840209042973</v>
      </c>
    </row>
    <row r="26" spans="1:26" s="24" customFormat="1" hidden="1" outlineLevel="2" x14ac:dyDescent="0.3">
      <c r="A26" s="29"/>
      <c r="B26" s="11" t="str">
        <f>CONCATENATE("          ", "6113", " - ", "GROUP INSURANCE")</f>
        <v xml:space="preserve">          6113 - GROUP INSURANCE</v>
      </c>
      <c r="C26" s="11"/>
      <c r="D26" s="6">
        <v>33.81</v>
      </c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33.81</v>
      </c>
      <c r="M26" s="2"/>
      <c r="N26" s="7">
        <f t="shared" si="17"/>
        <v>0</v>
      </c>
      <c r="O26" s="11"/>
      <c r="P26" s="6">
        <v>33.81</v>
      </c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33.81</v>
      </c>
      <c r="Y26" s="2"/>
      <c r="Z26" s="7">
        <f t="shared" si="21"/>
        <v>0</v>
      </c>
    </row>
    <row r="27" spans="1:26" s="24" customFormat="1" hidden="1" outlineLevel="2" x14ac:dyDescent="0.3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6">
        <v>7.99</v>
      </c>
      <c r="E27" s="2"/>
      <c r="F27" s="7">
        <f t="shared" si="14"/>
        <v>0</v>
      </c>
      <c r="G27" s="2"/>
      <c r="H27" s="6">
        <v>4.3522499999999997</v>
      </c>
      <c r="I27" s="2"/>
      <c r="J27" s="7">
        <f t="shared" si="15"/>
        <v>6.4003676470588235E-4</v>
      </c>
      <c r="K27" s="2"/>
      <c r="L27" s="6">
        <f t="shared" si="16"/>
        <v>3.6377500000000005</v>
      </c>
      <c r="M27" s="2"/>
      <c r="N27" s="7">
        <f t="shared" si="17"/>
        <v>0.83583204089838603</v>
      </c>
      <c r="O27" s="11"/>
      <c r="P27" s="6">
        <v>9.1999999999999993</v>
      </c>
      <c r="Q27" s="2"/>
      <c r="R27" s="7">
        <f t="shared" si="18"/>
        <v>0</v>
      </c>
      <c r="S27" s="2"/>
      <c r="T27" s="6">
        <v>45.439799999999998</v>
      </c>
      <c r="U27" s="2"/>
      <c r="V27" s="7">
        <f t="shared" si="19"/>
        <v>9.5739328304749057E-4</v>
      </c>
      <c r="W27" s="2"/>
      <c r="X27" s="6">
        <f t="shared" si="20"/>
        <v>-36.239800000000002</v>
      </c>
      <c r="Y27" s="2"/>
      <c r="Z27" s="7">
        <f t="shared" si="21"/>
        <v>-0.79753432013345138</v>
      </c>
    </row>
    <row r="28" spans="1:26" s="24" customFormat="1" hidden="1" outlineLevel="2" x14ac:dyDescent="0.3">
      <c r="A28" s="29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3">
      <c r="A29" s="29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3">
      <c r="A30" s="29"/>
      <c r="B30" s="11" t="str">
        <f>CONCATENATE("          ", "6118", " - ", "VACATION")</f>
        <v xml:space="preserve">          6118 - VACATION</v>
      </c>
      <c r="C30" s="11"/>
      <c r="D30" s="6">
        <v>163.24</v>
      </c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163.24</v>
      </c>
      <c r="M30" s="2"/>
      <c r="N30" s="7">
        <f t="shared" si="17"/>
        <v>0</v>
      </c>
      <c r="O30" s="11"/>
      <c r="P30" s="6">
        <v>244.86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244.86</v>
      </c>
      <c r="Y30" s="2"/>
      <c r="Z30" s="7">
        <f t="shared" si="21"/>
        <v>0</v>
      </c>
    </row>
    <row r="31" spans="1:26" s="24" customFormat="1" hidden="1" outlineLevel="2" x14ac:dyDescent="0.3">
      <c r="A31" s="29"/>
      <c r="B31" s="11" t="str">
        <f>CONCATENATE("          ", "6119", " - ", "SICK LEAVE")</f>
        <v xml:space="preserve">          6119 - SICK LEAVE</v>
      </c>
      <c r="C31" s="11"/>
      <c r="D31" s="6">
        <v>195.58</v>
      </c>
      <c r="E31" s="2"/>
      <c r="F31" s="7">
        <f t="shared" si="14"/>
        <v>0</v>
      </c>
      <c r="G31" s="2"/>
      <c r="H31" s="6">
        <v>62.174999999999997</v>
      </c>
      <c r="I31" s="2"/>
      <c r="J31" s="7">
        <f t="shared" si="15"/>
        <v>9.1433823529411765E-3</v>
      </c>
      <c r="K31" s="2"/>
      <c r="L31" s="6">
        <f t="shared" si="16"/>
        <v>133.40500000000003</v>
      </c>
      <c r="M31" s="2"/>
      <c r="N31" s="7">
        <f t="shared" si="17"/>
        <v>2.1456373140329719</v>
      </c>
      <c r="O31" s="11"/>
      <c r="P31" s="6">
        <v>293.37</v>
      </c>
      <c r="Q31" s="2"/>
      <c r="R31" s="7">
        <f t="shared" si="18"/>
        <v>0</v>
      </c>
      <c r="S31" s="2"/>
      <c r="T31" s="6">
        <v>649.14</v>
      </c>
      <c r="U31" s="2"/>
      <c r="V31" s="7">
        <f t="shared" si="19"/>
        <v>1.3677046900678436E-2</v>
      </c>
      <c r="W31" s="2"/>
      <c r="X31" s="6">
        <f t="shared" si="20"/>
        <v>-355.77</v>
      </c>
      <c r="Y31" s="2"/>
      <c r="Z31" s="7">
        <f t="shared" si="21"/>
        <v>-0.5480635918291894</v>
      </c>
    </row>
    <row r="32" spans="1:26" s="24" customFormat="1" hidden="1" outlineLevel="2" x14ac:dyDescent="0.3">
      <c r="A32" s="29"/>
      <c r="B32" s="11" t="str">
        <f>CONCATENATE("          ", "6156", " - ", "EMPLOYEE MEALS")</f>
        <v xml:space="preserve">          6156 - EMPLOYEE MEALS</v>
      </c>
      <c r="C32" s="11"/>
      <c r="D32" s="6">
        <v>187.17</v>
      </c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187.17</v>
      </c>
      <c r="M32" s="2"/>
      <c r="N32" s="7">
        <f t="shared" si="17"/>
        <v>0</v>
      </c>
      <c r="O32" s="11"/>
      <c r="P32" s="6">
        <v>265.25</v>
      </c>
      <c r="Q32" s="2"/>
      <c r="R32" s="7">
        <f t="shared" si="18"/>
        <v>0</v>
      </c>
      <c r="S32" s="2"/>
      <c r="T32" s="6"/>
      <c r="U32" s="2"/>
      <c r="V32" s="7">
        <f t="shared" si="19"/>
        <v>0</v>
      </c>
      <c r="W32" s="2"/>
      <c r="X32" s="6">
        <f t="shared" si="20"/>
        <v>265.25</v>
      </c>
      <c r="Y32" s="2"/>
      <c r="Z32" s="7">
        <f t="shared" si="21"/>
        <v>0</v>
      </c>
    </row>
    <row r="33" spans="1:26" s="28" customFormat="1" outlineLevel="1" collapsed="1" x14ac:dyDescent="0.3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3071.88</v>
      </c>
      <c r="E33" s="1"/>
      <c r="F33" s="5">
        <f t="shared" ref="F33:F43" si="22">IF(D$12=0,0,D33/D$12)</f>
        <v>0</v>
      </c>
      <c r="G33" s="1"/>
      <c r="H33" s="1">
        <f>SUM(OSRRefH22_1x_0)</f>
        <v>2010.3249999999998</v>
      </c>
      <c r="I33" s="1"/>
      <c r="J33" s="5">
        <f t="shared" ref="J33:J43" si="23">IF(H$12=0,0,H33/H$12)</f>
        <v>0.2956360294117647</v>
      </c>
      <c r="K33" s="1"/>
      <c r="L33" s="1">
        <f t="shared" ref="L33:L43" si="24">+D33-H33</f>
        <v>1061.5550000000003</v>
      </c>
      <c r="M33" s="1"/>
      <c r="N33" s="5">
        <f t="shared" ref="N33:N43" si="25">IF(H33=0,0,L33/H33)</f>
        <v>0.52805143446955116</v>
      </c>
      <c r="O33" s="14"/>
      <c r="P33" s="1">
        <f>SUM(OSRRefP22_1x_0)</f>
        <v>3629.11</v>
      </c>
      <c r="Q33" s="1"/>
      <c r="R33" s="5">
        <f t="shared" ref="R33:R43" si="26">IF(P$12=0,0,P33/P$12)</f>
        <v>0</v>
      </c>
      <c r="S33" s="1"/>
      <c r="T33" s="1">
        <f>SUM(OSRRefT22_1x_0)</f>
        <v>20988.86</v>
      </c>
      <c r="U33" s="1"/>
      <c r="V33" s="5">
        <f t="shared" ref="V33:V43" si="27">IF(T$12=0,0,T33/T$12)</f>
        <v>0.4422245164552695</v>
      </c>
      <c r="W33" s="1"/>
      <c r="X33" s="1">
        <f t="shared" ref="X33:X43" si="28">+P33-T33</f>
        <v>-17359.75</v>
      </c>
      <c r="Y33" s="1"/>
      <c r="Z33" s="5">
        <f t="shared" ref="Z33:Z43" si="29">IF(T33=0,0,X33/T33)</f>
        <v>-0.82709351532193742</v>
      </c>
    </row>
    <row r="34" spans="1:26" s="24" customFormat="1" hidden="1" outlineLevel="2" x14ac:dyDescent="0.3">
      <c r="A34" s="29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3">
      <c r="A35" s="29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3">
      <c r="A36" s="29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3">
      <c r="A37" s="29"/>
      <c r="B37" s="11" t="str">
        <f>CONCATENATE("          ", "6004", " - ", "STAFF HOURLY")</f>
        <v xml:space="preserve">          6004 - STAFF HOURLY</v>
      </c>
      <c r="C37" s="11"/>
      <c r="D37" s="6">
        <v>3071.88</v>
      </c>
      <c r="E37" s="2"/>
      <c r="F37" s="7">
        <f t="shared" si="22"/>
        <v>0</v>
      </c>
      <c r="G37" s="2"/>
      <c r="H37" s="6">
        <v>720.22500000000002</v>
      </c>
      <c r="I37" s="2"/>
      <c r="J37" s="7">
        <f t="shared" si="23"/>
        <v>0.10591544117647059</v>
      </c>
      <c r="K37" s="2"/>
      <c r="L37" s="6">
        <f t="shared" si="24"/>
        <v>2351.6550000000002</v>
      </c>
      <c r="M37" s="2"/>
      <c r="N37" s="7">
        <f t="shared" si="25"/>
        <v>3.2651671352702283</v>
      </c>
      <c r="O37" s="11"/>
      <c r="P37" s="6">
        <v>3538.81</v>
      </c>
      <c r="Q37" s="2"/>
      <c r="R37" s="7">
        <f t="shared" si="26"/>
        <v>0</v>
      </c>
      <c r="S37" s="2"/>
      <c r="T37" s="6">
        <v>9181.0499999999993</v>
      </c>
      <c r="U37" s="2"/>
      <c r="V37" s="7">
        <f t="shared" si="27"/>
        <v>0.19344001517003073</v>
      </c>
      <c r="W37" s="2"/>
      <c r="X37" s="6">
        <f t="shared" si="28"/>
        <v>-5642.24</v>
      </c>
      <c r="Y37" s="2"/>
      <c r="Z37" s="7">
        <f t="shared" si="29"/>
        <v>-0.61455280169479531</v>
      </c>
    </row>
    <row r="38" spans="1:26" s="24" customFormat="1" hidden="1" outlineLevel="2" x14ac:dyDescent="0.3">
      <c r="A38" s="29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>
        <v>90.3</v>
      </c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90.3</v>
      </c>
      <c r="Y38" s="2"/>
      <c r="Z38" s="7">
        <f t="shared" si="29"/>
        <v>0</v>
      </c>
    </row>
    <row r="39" spans="1:26" s="24" customFormat="1" hidden="1" outlineLevel="2" x14ac:dyDescent="0.3">
      <c r="A39" s="29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9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3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1290.0999999999999</v>
      </c>
      <c r="I41" s="2"/>
      <c r="J41" s="7">
        <f t="shared" si="23"/>
        <v>0.18972058823529411</v>
      </c>
      <c r="K41" s="2"/>
      <c r="L41" s="6">
        <f t="shared" si="24"/>
        <v>-1290.0999999999999</v>
      </c>
      <c r="M41" s="2"/>
      <c r="N41" s="7">
        <f t="shared" si="25"/>
        <v>-1</v>
      </c>
      <c r="O41" s="11"/>
      <c r="P41" s="6"/>
      <c r="Q41" s="2"/>
      <c r="R41" s="7">
        <f t="shared" si="26"/>
        <v>0</v>
      </c>
      <c r="S41" s="2"/>
      <c r="T41" s="6">
        <v>11807.81</v>
      </c>
      <c r="U41" s="2"/>
      <c r="V41" s="7">
        <f t="shared" si="27"/>
        <v>0.24878450128523871</v>
      </c>
      <c r="W41" s="2"/>
      <c r="X41" s="6">
        <f t="shared" si="28"/>
        <v>-11807.81</v>
      </c>
      <c r="Y41" s="2"/>
      <c r="Z41" s="7">
        <f t="shared" si="29"/>
        <v>-1</v>
      </c>
    </row>
    <row r="42" spans="1:26" s="24" customFormat="1" hidden="1" outlineLevel="2" x14ac:dyDescent="0.3">
      <c r="A42" s="29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3">
      <c r="A43" s="29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8" customFormat="1" outlineLevel="1" collapsed="1" x14ac:dyDescent="0.3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4" si="30">IF(D$12=0,0,D44/D$12)</f>
        <v>0</v>
      </c>
      <c r="G44" s="1"/>
      <c r="H44" s="1">
        <f>SUM(OSRRefH22_2x_0)</f>
        <v>0</v>
      </c>
      <c r="I44" s="1"/>
      <c r="J44" s="5">
        <f t="shared" ref="J44:J54" si="31">IF(H$12=0,0,H44/H$12)</f>
        <v>0</v>
      </c>
      <c r="K44" s="1"/>
      <c r="L44" s="1">
        <f t="shared" ref="L44:L54" si="32">+D44-H44</f>
        <v>0</v>
      </c>
      <c r="M44" s="1"/>
      <c r="N44" s="5">
        <f t="shared" ref="N44:N54" si="33">IF(H44=0,0,L44/H44)</f>
        <v>0</v>
      </c>
      <c r="O44" s="14"/>
      <c r="P44" s="1">
        <f>SUM(OSRRefP22_2x_0)</f>
        <v>0</v>
      </c>
      <c r="Q44" s="1"/>
      <c r="R44" s="5">
        <f t="shared" ref="R44:R54" si="34">IF(P$12=0,0,P44/P$12)</f>
        <v>0</v>
      </c>
      <c r="S44" s="1"/>
      <c r="T44" s="1">
        <f>SUM(OSRRefT22_2x_0)</f>
        <v>0</v>
      </c>
      <c r="U44" s="1"/>
      <c r="V44" s="5">
        <f t="shared" ref="V44:V54" si="35">IF(T$12=0,0,T44/T$12)</f>
        <v>0</v>
      </c>
      <c r="W44" s="1"/>
      <c r="X44" s="1">
        <f t="shared" ref="X44:X54" si="36">+P44-T44</f>
        <v>0</v>
      </c>
      <c r="Y44" s="1"/>
      <c r="Z44" s="5">
        <f t="shared" ref="Z44:Z54" si="37">IF(T44=0,0,X44/T44)</f>
        <v>0</v>
      </c>
    </row>
    <row r="45" spans="1:26" s="24" customFormat="1" hidden="1" outlineLevel="2" x14ac:dyDescent="0.3">
      <c r="A45" s="29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/>
      <c r="Q45" s="2"/>
      <c r="R45" s="7">
        <f t="shared" si="34"/>
        <v>0</v>
      </c>
      <c r="S45" s="2"/>
      <c r="T45" s="6">
        <v>0</v>
      </c>
      <c r="U45" s="2"/>
      <c r="V45" s="7">
        <f t="shared" si="35"/>
        <v>0</v>
      </c>
      <c r="W45" s="2"/>
      <c r="X45" s="6">
        <f t="shared" si="36"/>
        <v>0</v>
      </c>
      <c r="Y45" s="2"/>
      <c r="Z45" s="7">
        <f t="shared" si="37"/>
        <v>0</v>
      </c>
    </row>
    <row r="46" spans="1:26" s="28" customFormat="1" outlineLevel="1" collapsed="1" x14ac:dyDescent="0.3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25</v>
      </c>
      <c r="E46" s="1"/>
      <c r="F46" s="5">
        <f t="shared" si="30"/>
        <v>0</v>
      </c>
      <c r="G46" s="1"/>
      <c r="H46" s="1">
        <f>SUM(OSRRefH22_3x_0)</f>
        <v>232</v>
      </c>
      <c r="I46" s="1"/>
      <c r="J46" s="5">
        <f t="shared" si="31"/>
        <v>3.411764705882353E-2</v>
      </c>
      <c r="K46" s="1"/>
      <c r="L46" s="1">
        <f t="shared" si="32"/>
        <v>-207</v>
      </c>
      <c r="M46" s="1"/>
      <c r="N46" s="5">
        <f t="shared" si="33"/>
        <v>-0.89224137931034486</v>
      </c>
      <c r="O46" s="14"/>
      <c r="P46" s="1">
        <f>SUM(OSRRefP22_3x_0)</f>
        <v>425.36</v>
      </c>
      <c r="Q46" s="1"/>
      <c r="R46" s="5">
        <f t="shared" si="34"/>
        <v>0</v>
      </c>
      <c r="S46" s="1"/>
      <c r="T46" s="1">
        <f>SUM(OSRRefT22_3x_0)</f>
        <v>1619</v>
      </c>
      <c r="U46" s="1"/>
      <c r="V46" s="5">
        <f t="shared" si="35"/>
        <v>3.4111499726096665E-2</v>
      </c>
      <c r="W46" s="1"/>
      <c r="X46" s="1">
        <f t="shared" si="36"/>
        <v>-1193.6399999999999</v>
      </c>
      <c r="Y46" s="1"/>
      <c r="Z46" s="5">
        <f t="shared" si="37"/>
        <v>-0.73726991970352063</v>
      </c>
    </row>
    <row r="47" spans="1:26" s="24" customFormat="1" hidden="1" outlineLevel="2" x14ac:dyDescent="0.3">
      <c r="A47" s="29"/>
      <c r="B47" s="11" t="str">
        <f>CONCATENATE("          ", "6381", " - ", "BANK/CREDIT CARD FEES")</f>
        <v xml:space="preserve">          6381 - BANK/CREDIT CARD FEES</v>
      </c>
      <c r="C47" s="11"/>
      <c r="D47" s="6">
        <v>25</v>
      </c>
      <c r="E47" s="2"/>
      <c r="F47" s="7">
        <f t="shared" si="30"/>
        <v>0</v>
      </c>
      <c r="G47" s="2"/>
      <c r="H47" s="6">
        <v>232</v>
      </c>
      <c r="I47" s="2"/>
      <c r="J47" s="7">
        <f t="shared" si="31"/>
        <v>3.411764705882353E-2</v>
      </c>
      <c r="K47" s="2"/>
      <c r="L47" s="6">
        <f t="shared" si="32"/>
        <v>-207</v>
      </c>
      <c r="M47" s="2"/>
      <c r="N47" s="7">
        <f t="shared" si="33"/>
        <v>-0.89224137931034486</v>
      </c>
      <c r="O47" s="11"/>
      <c r="P47" s="6">
        <v>425.36</v>
      </c>
      <c r="Q47" s="2"/>
      <c r="R47" s="7">
        <f t="shared" si="34"/>
        <v>0</v>
      </c>
      <c r="S47" s="2"/>
      <c r="T47" s="6">
        <v>1619</v>
      </c>
      <c r="U47" s="2"/>
      <c r="V47" s="7">
        <f t="shared" si="35"/>
        <v>3.4111499726096665E-2</v>
      </c>
      <c r="W47" s="2"/>
      <c r="X47" s="6">
        <f t="shared" si="36"/>
        <v>-1193.6399999999999</v>
      </c>
      <c r="Y47" s="2"/>
      <c r="Z47" s="7">
        <f t="shared" si="37"/>
        <v>-0.73726991970352063</v>
      </c>
    </row>
    <row r="48" spans="1:26" s="28" customFormat="1" outlineLevel="1" collapsed="1" x14ac:dyDescent="0.3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264.60000000000002</v>
      </c>
      <c r="E48" s="1"/>
      <c r="F48" s="5">
        <f t="shared" si="30"/>
        <v>0</v>
      </c>
      <c r="G48" s="1"/>
      <c r="H48" s="1">
        <f>SUM(OSRRefH22_4x_0)</f>
        <v>265</v>
      </c>
      <c r="I48" s="1"/>
      <c r="J48" s="5">
        <f t="shared" si="31"/>
        <v>3.8970588235294118E-2</v>
      </c>
      <c r="K48" s="1"/>
      <c r="L48" s="1">
        <f t="shared" si="32"/>
        <v>-0.39999999999997726</v>
      </c>
      <c r="M48" s="1"/>
      <c r="N48" s="5">
        <f t="shared" si="33"/>
        <v>-1.5094339622640652E-3</v>
      </c>
      <c r="O48" s="14"/>
      <c r="P48" s="1">
        <f>SUM(OSRRefP22_4x_0)</f>
        <v>4019.96</v>
      </c>
      <c r="Q48" s="1"/>
      <c r="R48" s="5">
        <f t="shared" si="34"/>
        <v>0</v>
      </c>
      <c r="S48" s="1"/>
      <c r="T48" s="1">
        <f>SUM(OSRRefT22_4x_0)</f>
        <v>4020</v>
      </c>
      <c r="U48" s="1"/>
      <c r="V48" s="5">
        <f t="shared" si="35"/>
        <v>8.4699338418102899E-2</v>
      </c>
      <c r="W48" s="1"/>
      <c r="X48" s="1">
        <f t="shared" si="36"/>
        <v>-3.999999999996362E-2</v>
      </c>
      <c r="Y48" s="1"/>
      <c r="Z48" s="5">
        <f t="shared" si="37"/>
        <v>-9.9502487562098561E-6</v>
      </c>
    </row>
    <row r="49" spans="1:26" s="24" customFormat="1" hidden="1" outlineLevel="2" x14ac:dyDescent="0.3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264.60000000000002</v>
      </c>
      <c r="E49" s="2"/>
      <c r="F49" s="7">
        <f t="shared" si="30"/>
        <v>0</v>
      </c>
      <c r="G49" s="2"/>
      <c r="H49" s="6">
        <v>265</v>
      </c>
      <c r="I49" s="2"/>
      <c r="J49" s="7">
        <f t="shared" si="31"/>
        <v>3.8970588235294118E-2</v>
      </c>
      <c r="K49" s="2"/>
      <c r="L49" s="6">
        <f t="shared" si="32"/>
        <v>-0.39999999999997726</v>
      </c>
      <c r="M49" s="2"/>
      <c r="N49" s="7">
        <f t="shared" si="33"/>
        <v>-1.5094339622640652E-3</v>
      </c>
      <c r="O49" s="11"/>
      <c r="P49" s="6">
        <v>4019.96</v>
      </c>
      <c r="Q49" s="2"/>
      <c r="R49" s="7">
        <f t="shared" si="34"/>
        <v>0</v>
      </c>
      <c r="S49" s="2"/>
      <c r="T49" s="6">
        <v>4020</v>
      </c>
      <c r="U49" s="2"/>
      <c r="V49" s="7">
        <f t="shared" si="35"/>
        <v>8.4699338418102899E-2</v>
      </c>
      <c r="W49" s="2"/>
      <c r="X49" s="6">
        <f t="shared" si="36"/>
        <v>-3.999999999996362E-2</v>
      </c>
      <c r="Y49" s="2"/>
      <c r="Z49" s="7">
        <f t="shared" si="37"/>
        <v>-9.9502487562098561E-6</v>
      </c>
    </row>
    <row r="50" spans="1:26" s="28" customFormat="1" outlineLevel="1" collapsed="1" x14ac:dyDescent="0.3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SUM(OSRRefD22_5x_0)</f>
        <v>272.19</v>
      </c>
      <c r="E50" s="1"/>
      <c r="F50" s="5">
        <f t="shared" si="30"/>
        <v>0</v>
      </c>
      <c r="G50" s="1"/>
      <c r="H50" s="1">
        <f>SUM(OSRRefH22_5x_0)</f>
        <v>455</v>
      </c>
      <c r="I50" s="1"/>
      <c r="J50" s="5">
        <f t="shared" si="31"/>
        <v>6.6911764705882351E-2</v>
      </c>
      <c r="K50" s="1"/>
      <c r="L50" s="1">
        <f t="shared" si="32"/>
        <v>-182.81</v>
      </c>
      <c r="M50" s="1"/>
      <c r="N50" s="5">
        <f t="shared" si="33"/>
        <v>-0.40178021978021977</v>
      </c>
      <c r="O50" s="14"/>
      <c r="P50" s="1">
        <f>SUM(OSRRefP22_5x_0)</f>
        <v>1153.93</v>
      </c>
      <c r="Q50" s="1"/>
      <c r="R50" s="5">
        <f t="shared" si="34"/>
        <v>0</v>
      </c>
      <c r="S50" s="1"/>
      <c r="T50" s="1">
        <f>SUM(OSRRefT22_5x_0)</f>
        <v>755</v>
      </c>
      <c r="U50" s="1"/>
      <c r="V50" s="5">
        <f t="shared" si="35"/>
        <v>1.5907462812355146E-2</v>
      </c>
      <c r="W50" s="1"/>
      <c r="X50" s="1">
        <f t="shared" si="36"/>
        <v>398.93000000000006</v>
      </c>
      <c r="Y50" s="1"/>
      <c r="Z50" s="5">
        <f t="shared" si="37"/>
        <v>0.52838410596026497</v>
      </c>
    </row>
    <row r="51" spans="1:26" s="24" customFormat="1" hidden="1" outlineLevel="2" x14ac:dyDescent="0.3">
      <c r="A51" s="29"/>
      <c r="B51" s="11" t="str">
        <f>CONCATENATE("          ", "6279", " - ", "GENERAL EXPENSE")</f>
        <v xml:space="preserve">          6279 - GENERAL EXPENSE</v>
      </c>
      <c r="C51" s="11"/>
      <c r="D51" s="6">
        <v>272.19</v>
      </c>
      <c r="E51" s="2"/>
      <c r="F51" s="7">
        <f t="shared" si="30"/>
        <v>0</v>
      </c>
      <c r="G51" s="2"/>
      <c r="H51" s="6">
        <v>455</v>
      </c>
      <c r="I51" s="2"/>
      <c r="J51" s="7">
        <f t="shared" si="31"/>
        <v>6.6911764705882351E-2</v>
      </c>
      <c r="K51" s="2"/>
      <c r="L51" s="6">
        <f t="shared" si="32"/>
        <v>-182.81</v>
      </c>
      <c r="M51" s="2"/>
      <c r="N51" s="7">
        <f t="shared" si="33"/>
        <v>-0.40178021978021977</v>
      </c>
      <c r="O51" s="11"/>
      <c r="P51" s="6">
        <v>1153.93</v>
      </c>
      <c r="Q51" s="2"/>
      <c r="R51" s="7">
        <f t="shared" si="34"/>
        <v>0</v>
      </c>
      <c r="S51" s="2"/>
      <c r="T51" s="6">
        <v>755</v>
      </c>
      <c r="U51" s="2"/>
      <c r="V51" s="7">
        <f t="shared" si="35"/>
        <v>1.5907462812355146E-2</v>
      </c>
      <c r="W51" s="2"/>
      <c r="X51" s="6">
        <f t="shared" si="36"/>
        <v>398.93000000000006</v>
      </c>
      <c r="Y51" s="2"/>
      <c r="Z51" s="7">
        <f t="shared" si="37"/>
        <v>0.52838410596026497</v>
      </c>
    </row>
    <row r="52" spans="1:26" s="28" customFormat="1" outlineLevel="1" collapsed="1" x14ac:dyDescent="0.3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SUM(OSRRefD22_6x_0)</f>
        <v>49.93</v>
      </c>
      <c r="E52" s="1"/>
      <c r="F52" s="5">
        <f t="shared" si="30"/>
        <v>0</v>
      </c>
      <c r="G52" s="1"/>
      <c r="H52" s="1">
        <f>SUM(OSRRefH22_6x_0)</f>
        <v>253</v>
      </c>
      <c r="I52" s="1"/>
      <c r="J52" s="5">
        <f t="shared" si="31"/>
        <v>3.7205882352941179E-2</v>
      </c>
      <c r="K52" s="1"/>
      <c r="L52" s="1">
        <f t="shared" si="32"/>
        <v>-203.07</v>
      </c>
      <c r="M52" s="1"/>
      <c r="N52" s="5">
        <f t="shared" si="33"/>
        <v>-0.80264822134387348</v>
      </c>
      <c r="O52" s="14"/>
      <c r="P52" s="1">
        <f>SUM(OSRRefP22_6x_0)</f>
        <v>97.83</v>
      </c>
      <c r="Q52" s="1"/>
      <c r="R52" s="5">
        <f t="shared" si="34"/>
        <v>0</v>
      </c>
      <c r="S52" s="1"/>
      <c r="T52" s="1">
        <f>SUM(OSRRefT22_6x_0)</f>
        <v>1266</v>
      </c>
      <c r="U52" s="1"/>
      <c r="V52" s="5">
        <f t="shared" si="35"/>
        <v>2.667397075555181E-2</v>
      </c>
      <c r="W52" s="1"/>
      <c r="X52" s="1">
        <f t="shared" si="36"/>
        <v>-1168.17</v>
      </c>
      <c r="Y52" s="1"/>
      <c r="Z52" s="5">
        <f t="shared" si="37"/>
        <v>-0.92272511848341243</v>
      </c>
    </row>
    <row r="53" spans="1:26" s="24" customFormat="1" hidden="1" outlineLevel="2" x14ac:dyDescent="0.3">
      <c r="A53" s="29"/>
      <c r="B53" s="11" t="str">
        <f>CONCATENATE("          ", "6373", " - ", "MAINTENANCE CONTRACTS")</f>
        <v xml:space="preserve">          6373 - MAINTENANCE CONTRACTS</v>
      </c>
      <c r="C53" s="11"/>
      <c r="D53" s="6">
        <v>49.93</v>
      </c>
      <c r="E53" s="2"/>
      <c r="F53" s="7">
        <f t="shared" si="30"/>
        <v>0</v>
      </c>
      <c r="G53" s="2"/>
      <c r="H53" s="6">
        <v>138</v>
      </c>
      <c r="I53" s="2"/>
      <c r="J53" s="7">
        <f t="shared" si="31"/>
        <v>2.0294117647058824E-2</v>
      </c>
      <c r="K53" s="2"/>
      <c r="L53" s="6">
        <f t="shared" si="32"/>
        <v>-88.07</v>
      </c>
      <c r="M53" s="2"/>
      <c r="N53" s="7">
        <f t="shared" si="33"/>
        <v>-0.63818840579710145</v>
      </c>
      <c r="O53" s="11"/>
      <c r="P53" s="6">
        <v>97.83</v>
      </c>
      <c r="Q53" s="2"/>
      <c r="R53" s="7">
        <f t="shared" si="34"/>
        <v>0</v>
      </c>
      <c r="S53" s="2"/>
      <c r="T53" s="6">
        <v>576</v>
      </c>
      <c r="U53" s="2"/>
      <c r="V53" s="7">
        <f t="shared" si="35"/>
        <v>1.2136024609161014E-2</v>
      </c>
      <c r="W53" s="2"/>
      <c r="X53" s="6">
        <f t="shared" si="36"/>
        <v>-478.17</v>
      </c>
      <c r="Y53" s="2"/>
      <c r="Z53" s="7">
        <f t="shared" si="37"/>
        <v>-0.83015625000000004</v>
      </c>
    </row>
    <row r="54" spans="1:26" s="24" customFormat="1" hidden="1" outlineLevel="2" x14ac:dyDescent="0.3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30"/>
        <v>0</v>
      </c>
      <c r="G54" s="2"/>
      <c r="H54" s="6">
        <v>115</v>
      </c>
      <c r="I54" s="2"/>
      <c r="J54" s="7">
        <f t="shared" si="31"/>
        <v>1.6911764705882352E-2</v>
      </c>
      <c r="K54" s="2"/>
      <c r="L54" s="6">
        <f t="shared" si="32"/>
        <v>-115</v>
      </c>
      <c r="M54" s="2"/>
      <c r="N54" s="7">
        <f t="shared" si="33"/>
        <v>-1</v>
      </c>
      <c r="O54" s="11"/>
      <c r="P54" s="6"/>
      <c r="Q54" s="2"/>
      <c r="R54" s="7">
        <f t="shared" si="34"/>
        <v>0</v>
      </c>
      <c r="S54" s="2"/>
      <c r="T54" s="6">
        <v>690</v>
      </c>
      <c r="U54" s="2"/>
      <c r="V54" s="7">
        <f t="shared" si="35"/>
        <v>1.4537946146390797E-2</v>
      </c>
      <c r="W54" s="2"/>
      <c r="X54" s="6">
        <f t="shared" si="36"/>
        <v>-690</v>
      </c>
      <c r="Y54" s="2"/>
      <c r="Z54" s="7">
        <f t="shared" si="37"/>
        <v>-1</v>
      </c>
    </row>
    <row r="55" spans="1:26" s="28" customFormat="1" outlineLevel="1" collapsed="1" x14ac:dyDescent="0.3">
      <c r="A55" s="27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SUM(OSRRefD22_7x_0)</f>
        <v>0</v>
      </c>
      <c r="E55" s="1"/>
      <c r="F55" s="5">
        <f t="shared" ref="F55:F59" si="38">IF(D$12=0,0,D55/D$12)</f>
        <v>0</v>
      </c>
      <c r="G55" s="1"/>
      <c r="H55" s="1">
        <f>SUM(OSRRefH22_7x_0)</f>
        <v>612</v>
      </c>
      <c r="I55" s="1"/>
      <c r="J55" s="5">
        <f t="shared" ref="J55:J59" si="39">IF(H$12=0,0,H55/H$12)</f>
        <v>0.09</v>
      </c>
      <c r="K55" s="1"/>
      <c r="L55" s="1">
        <f t="shared" ref="L55:L59" si="40">+D55-H55</f>
        <v>-612</v>
      </c>
      <c r="M55" s="1"/>
      <c r="N55" s="5">
        <f t="shared" ref="N55:N59" si="41">IF(H55=0,0,L55/H55)</f>
        <v>-1</v>
      </c>
      <c r="O55" s="14"/>
      <c r="P55" s="1">
        <f>SUM(OSRRefP22_7x_0)</f>
        <v>0</v>
      </c>
      <c r="Q55" s="1"/>
      <c r="R55" s="5">
        <f t="shared" ref="R55:R59" si="42">IF(P$12=0,0,P55/P$12)</f>
        <v>0</v>
      </c>
      <c r="S55" s="1"/>
      <c r="T55" s="1">
        <f>SUM(OSRRefT22_7x_0)</f>
        <v>4272</v>
      </c>
      <c r="U55" s="1"/>
      <c r="V55" s="5">
        <f t="shared" ref="V55:V59" si="43">IF(T$12=0,0,T55/T$12)</f>
        <v>9.0008849184610842E-2</v>
      </c>
      <c r="W55" s="1"/>
      <c r="X55" s="1">
        <f t="shared" ref="X55:X59" si="44">+P55-T55</f>
        <v>-4272</v>
      </c>
      <c r="Y55" s="1"/>
      <c r="Z55" s="5">
        <f t="shared" ref="Z55:Z59" si="45">IF(T55=0,0,X55/T55)</f>
        <v>-1</v>
      </c>
    </row>
    <row r="56" spans="1:26" s="24" customFormat="1" hidden="1" outlineLevel="2" x14ac:dyDescent="0.3">
      <c r="A56" s="29"/>
      <c r="B56" s="11" t="str">
        <f>CONCATENATE("          ", "6259", " - ", "ROYALTY &amp; COMMISSIONS")</f>
        <v xml:space="preserve">          6259 - ROYALTY &amp; COMMISSIONS</v>
      </c>
      <c r="C56" s="11"/>
      <c r="D56" s="6"/>
      <c r="E56" s="2"/>
      <c r="F56" s="7">
        <f t="shared" si="38"/>
        <v>0</v>
      </c>
      <c r="G56" s="2"/>
      <c r="H56" s="6">
        <v>612</v>
      </c>
      <c r="I56" s="2"/>
      <c r="J56" s="7">
        <f t="shared" si="39"/>
        <v>0.09</v>
      </c>
      <c r="K56" s="2"/>
      <c r="L56" s="6">
        <f t="shared" si="40"/>
        <v>-612</v>
      </c>
      <c r="M56" s="2"/>
      <c r="N56" s="7">
        <f t="shared" si="41"/>
        <v>-1</v>
      </c>
      <c r="O56" s="11"/>
      <c r="P56" s="6"/>
      <c r="Q56" s="2"/>
      <c r="R56" s="7">
        <f t="shared" si="42"/>
        <v>0</v>
      </c>
      <c r="S56" s="2"/>
      <c r="T56" s="6">
        <v>4272</v>
      </c>
      <c r="U56" s="2"/>
      <c r="V56" s="7">
        <f t="shared" si="43"/>
        <v>9.0008849184610842E-2</v>
      </c>
      <c r="W56" s="2"/>
      <c r="X56" s="6">
        <f t="shared" si="44"/>
        <v>-4272</v>
      </c>
      <c r="Y56" s="2"/>
      <c r="Z56" s="7">
        <f t="shared" si="45"/>
        <v>-1</v>
      </c>
    </row>
    <row r="57" spans="1:26" s="28" customFormat="1" outlineLevel="1" collapsed="1" x14ac:dyDescent="0.3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SUM(OSRRefD22_8x_0)</f>
        <v>0</v>
      </c>
      <c r="E57" s="1"/>
      <c r="F57" s="5">
        <f t="shared" si="38"/>
        <v>0</v>
      </c>
      <c r="G57" s="1"/>
      <c r="H57" s="1">
        <f>SUM(OSRRefH22_8x_0)</f>
        <v>100</v>
      </c>
      <c r="I57" s="1"/>
      <c r="J57" s="5">
        <f t="shared" si="39"/>
        <v>1.4705882352941176E-2</v>
      </c>
      <c r="K57" s="1"/>
      <c r="L57" s="1">
        <f t="shared" si="40"/>
        <v>-100</v>
      </c>
      <c r="M57" s="1"/>
      <c r="N57" s="5">
        <f t="shared" si="41"/>
        <v>-1</v>
      </c>
      <c r="O57" s="14"/>
      <c r="P57" s="1">
        <f>SUM(OSRRefP22_8x_0)</f>
        <v>103.2</v>
      </c>
      <c r="Q57" s="1"/>
      <c r="R57" s="5">
        <f t="shared" si="42"/>
        <v>0</v>
      </c>
      <c r="S57" s="1"/>
      <c r="T57" s="1">
        <f>SUM(OSRRefT22_8x_0)</f>
        <v>500</v>
      </c>
      <c r="U57" s="1"/>
      <c r="V57" s="5">
        <f t="shared" si="43"/>
        <v>1.0534743584341158E-2</v>
      </c>
      <c r="W57" s="1"/>
      <c r="X57" s="1">
        <f t="shared" si="44"/>
        <v>-396.8</v>
      </c>
      <c r="Y57" s="1"/>
      <c r="Z57" s="5">
        <f t="shared" si="45"/>
        <v>-0.79359999999999997</v>
      </c>
    </row>
    <row r="58" spans="1:26" s="24" customFormat="1" hidden="1" outlineLevel="2" x14ac:dyDescent="0.3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6"/>
      <c r="E58" s="2"/>
      <c r="F58" s="7">
        <f t="shared" si="38"/>
        <v>0</v>
      </c>
      <c r="G58" s="2"/>
      <c r="H58" s="6">
        <v>100</v>
      </c>
      <c r="I58" s="2"/>
      <c r="J58" s="7">
        <f t="shared" si="39"/>
        <v>1.4705882352941176E-2</v>
      </c>
      <c r="K58" s="2"/>
      <c r="L58" s="6">
        <f t="shared" si="40"/>
        <v>-100</v>
      </c>
      <c r="M58" s="2"/>
      <c r="N58" s="7">
        <f t="shared" si="41"/>
        <v>-1</v>
      </c>
      <c r="O58" s="11"/>
      <c r="P58" s="6"/>
      <c r="Q58" s="2"/>
      <c r="R58" s="7">
        <f t="shared" si="42"/>
        <v>0</v>
      </c>
      <c r="S58" s="2"/>
      <c r="T58" s="6">
        <v>500</v>
      </c>
      <c r="U58" s="2"/>
      <c r="V58" s="7">
        <f t="shared" si="43"/>
        <v>1.0534743584341158E-2</v>
      </c>
      <c r="W58" s="2"/>
      <c r="X58" s="6">
        <f t="shared" si="44"/>
        <v>-500</v>
      </c>
      <c r="Y58" s="2"/>
      <c r="Z58" s="7">
        <f t="shared" si="45"/>
        <v>-1</v>
      </c>
    </row>
    <row r="59" spans="1:26" s="24" customFormat="1" hidden="1" outlineLevel="2" x14ac:dyDescent="0.3">
      <c r="A59" s="29"/>
      <c r="B59" s="11" t="str">
        <f>CONCATENATE("          ", "6285", " - ", "JANITORIAL SERVICES")</f>
        <v xml:space="preserve">          6285 - JANITORIAL SERVICES</v>
      </c>
      <c r="C59" s="11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>
        <v>103.2</v>
      </c>
      <c r="Q59" s="2"/>
      <c r="R59" s="7">
        <f t="shared" si="42"/>
        <v>0</v>
      </c>
      <c r="S59" s="2"/>
      <c r="T59" s="6"/>
      <c r="U59" s="2"/>
      <c r="V59" s="7">
        <f t="shared" si="43"/>
        <v>0</v>
      </c>
      <c r="W59" s="2"/>
      <c r="X59" s="6">
        <f t="shared" si="44"/>
        <v>103.2</v>
      </c>
      <c r="Y59" s="2"/>
      <c r="Z59" s="7">
        <f t="shared" si="45"/>
        <v>0</v>
      </c>
    </row>
    <row r="60" spans="1:26" s="28" customFormat="1" outlineLevel="1" collapsed="1" x14ac:dyDescent="0.3">
      <c r="A60" s="27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SUM(OSRRefD22_9x_0)</f>
        <v>2.21</v>
      </c>
      <c r="E60" s="1"/>
      <c r="F60" s="5">
        <f t="shared" ref="F60:F64" si="46">IF(D$12=0,0,D60/D$12)</f>
        <v>0</v>
      </c>
      <c r="G60" s="1"/>
      <c r="H60" s="1">
        <f>SUM(OSRRefH22_9x_0)</f>
        <v>500</v>
      </c>
      <c r="I60" s="1"/>
      <c r="J60" s="5">
        <f t="shared" ref="J60:J64" si="47">IF(H$12=0,0,H60/H$12)</f>
        <v>7.3529411764705885E-2</v>
      </c>
      <c r="K60" s="1"/>
      <c r="L60" s="1">
        <f t="shared" ref="L60:L64" si="48">+D60-H60</f>
        <v>-497.79</v>
      </c>
      <c r="M60" s="1"/>
      <c r="N60" s="5">
        <f t="shared" ref="N60:N64" si="49">IF(H60=0,0,L60/H60)</f>
        <v>-0.99558000000000002</v>
      </c>
      <c r="O60" s="14"/>
      <c r="P60" s="1">
        <f>SUM(OSRRefP22_9x_0)</f>
        <v>1239.94</v>
      </c>
      <c r="Q60" s="1"/>
      <c r="R60" s="5">
        <f t="shared" ref="R60:R64" si="50">IF(P$12=0,0,P60/P$12)</f>
        <v>0</v>
      </c>
      <c r="S60" s="1"/>
      <c r="T60" s="1">
        <f>SUM(OSRRefT22_9x_0)</f>
        <v>4700</v>
      </c>
      <c r="U60" s="1"/>
      <c r="V60" s="5">
        <f t="shared" ref="V60:V64" si="51">IF(T$12=0,0,T60/T$12)</f>
        <v>9.902658969280688E-2</v>
      </c>
      <c r="W60" s="1"/>
      <c r="X60" s="1">
        <f t="shared" ref="X60:X64" si="52">+P60-T60</f>
        <v>-3460.06</v>
      </c>
      <c r="Y60" s="1"/>
      <c r="Z60" s="5">
        <f t="shared" ref="Z60:Z64" si="53">IF(T60=0,0,X60/T60)</f>
        <v>-0.73618297872340421</v>
      </c>
    </row>
    <row r="61" spans="1:26" s="24" customFormat="1" hidden="1" outlineLevel="2" x14ac:dyDescent="0.3">
      <c r="A61" s="29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>
        <v>1194.8900000000001</v>
      </c>
      <c r="Q61" s="2"/>
      <c r="R61" s="7">
        <f t="shared" si="50"/>
        <v>0</v>
      </c>
      <c r="S61" s="2"/>
      <c r="T61" s="6"/>
      <c r="U61" s="2"/>
      <c r="V61" s="7">
        <f t="shared" si="51"/>
        <v>0</v>
      </c>
      <c r="W61" s="2"/>
      <c r="X61" s="6">
        <f t="shared" si="52"/>
        <v>1194.8900000000001</v>
      </c>
      <c r="Y61" s="2"/>
      <c r="Z61" s="7">
        <f t="shared" si="53"/>
        <v>0</v>
      </c>
    </row>
    <row r="62" spans="1:26" s="24" customFormat="1" hidden="1" outlineLevel="2" x14ac:dyDescent="0.3">
      <c r="A62" s="29"/>
      <c r="B62" s="11" t="str">
        <f>CONCATENATE("          ", "6237", " - ", "JANITORIAL SUPPLIES")</f>
        <v xml:space="preserve">          6237 - JANITORIAL SUPPLIES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>
        <v>38.340000000000003</v>
      </c>
      <c r="Q62" s="2"/>
      <c r="R62" s="7">
        <f t="shared" si="50"/>
        <v>0</v>
      </c>
      <c r="S62" s="2"/>
      <c r="T62" s="6"/>
      <c r="U62" s="2"/>
      <c r="V62" s="7">
        <f t="shared" si="51"/>
        <v>0</v>
      </c>
      <c r="W62" s="2"/>
      <c r="X62" s="6">
        <f t="shared" si="52"/>
        <v>38.340000000000003</v>
      </c>
      <c r="Y62" s="2"/>
      <c r="Z62" s="7">
        <f t="shared" si="53"/>
        <v>0</v>
      </c>
    </row>
    <row r="63" spans="1:26" s="24" customFormat="1" hidden="1" outlineLevel="2" x14ac:dyDescent="0.3">
      <c r="A63" s="29"/>
      <c r="B63" s="11" t="str">
        <f>CONCATENATE("          ", "6241", " - ", "OFFICE EXPENSE")</f>
        <v xml:space="preserve">          6241 - OFFICE EXPENSE</v>
      </c>
      <c r="C63" s="11"/>
      <c r="D63" s="6">
        <v>2.21</v>
      </c>
      <c r="E63" s="2"/>
      <c r="F63" s="7">
        <f t="shared" si="46"/>
        <v>0</v>
      </c>
      <c r="G63" s="2"/>
      <c r="H63" s="6"/>
      <c r="I63" s="2"/>
      <c r="J63" s="7">
        <f t="shared" si="47"/>
        <v>0</v>
      </c>
      <c r="K63" s="2"/>
      <c r="L63" s="6">
        <f t="shared" si="48"/>
        <v>2.21</v>
      </c>
      <c r="M63" s="2"/>
      <c r="N63" s="7">
        <f t="shared" si="49"/>
        <v>0</v>
      </c>
      <c r="O63" s="11"/>
      <c r="P63" s="6">
        <v>6.71</v>
      </c>
      <c r="Q63" s="2"/>
      <c r="R63" s="7">
        <f t="shared" si="50"/>
        <v>0</v>
      </c>
      <c r="S63" s="2"/>
      <c r="T63" s="6"/>
      <c r="U63" s="2"/>
      <c r="V63" s="7">
        <f t="shared" si="51"/>
        <v>0</v>
      </c>
      <c r="W63" s="2"/>
      <c r="X63" s="6">
        <f t="shared" si="52"/>
        <v>6.71</v>
      </c>
      <c r="Y63" s="2"/>
      <c r="Z63" s="7">
        <f t="shared" si="53"/>
        <v>0</v>
      </c>
    </row>
    <row r="64" spans="1:26" s="24" customFormat="1" hidden="1" outlineLevel="2" x14ac:dyDescent="0.3">
      <c r="A64" s="29"/>
      <c r="B64" s="11" t="str">
        <f>CONCATENATE("          ", "6247", " - ", "STORE SUPPLIES")</f>
        <v xml:space="preserve">          6247 - STORE SUPPLIES</v>
      </c>
      <c r="C64" s="11"/>
      <c r="D64" s="6"/>
      <c r="E64" s="2"/>
      <c r="F64" s="7">
        <f t="shared" si="46"/>
        <v>0</v>
      </c>
      <c r="G64" s="2"/>
      <c r="H64" s="6">
        <v>500</v>
      </c>
      <c r="I64" s="2"/>
      <c r="J64" s="7">
        <f t="shared" si="47"/>
        <v>7.3529411764705885E-2</v>
      </c>
      <c r="K64" s="2"/>
      <c r="L64" s="6">
        <f t="shared" si="48"/>
        <v>-500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4700</v>
      </c>
      <c r="U64" s="2"/>
      <c r="V64" s="7">
        <f t="shared" si="51"/>
        <v>9.902658969280688E-2</v>
      </c>
      <c r="W64" s="2"/>
      <c r="X64" s="6">
        <f t="shared" si="52"/>
        <v>-4700</v>
      </c>
      <c r="Y64" s="2"/>
      <c r="Z64" s="7">
        <f t="shared" si="53"/>
        <v>-1</v>
      </c>
    </row>
    <row r="65" spans="1:26" s="28" customFormat="1" outlineLevel="1" collapsed="1" x14ac:dyDescent="0.3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SUM(OSRRefD22_10x_0)</f>
        <v>551.5</v>
      </c>
      <c r="E65" s="1"/>
      <c r="F65" s="5">
        <f t="shared" ref="F65:F68" si="54">IF(D$12=0,0,D65/D$12)</f>
        <v>0</v>
      </c>
      <c r="G65" s="1"/>
      <c r="H65" s="1">
        <f>SUM(OSRRefH22_10x_0)</f>
        <v>53</v>
      </c>
      <c r="I65" s="1"/>
      <c r="J65" s="5">
        <f t="shared" ref="J65:J68" si="55">IF(H$12=0,0,H65/H$12)</f>
        <v>7.7941176470588238E-3</v>
      </c>
      <c r="K65" s="1"/>
      <c r="L65" s="1">
        <f t="shared" ref="L65:L68" si="56">+D65-H65</f>
        <v>498.5</v>
      </c>
      <c r="M65" s="1"/>
      <c r="N65" s="5">
        <f t="shared" ref="N65:N68" si="57">IF(H65=0,0,L65/H65)</f>
        <v>9.4056603773584904</v>
      </c>
      <c r="O65" s="14"/>
      <c r="P65" s="1">
        <f>SUM(OSRRefP22_10x_0)</f>
        <v>735.5</v>
      </c>
      <c r="Q65" s="1"/>
      <c r="R65" s="5">
        <f t="shared" ref="R65:R68" si="58">IF(P$12=0,0,P65/P$12)</f>
        <v>0</v>
      </c>
      <c r="S65" s="1"/>
      <c r="T65" s="1">
        <f>SUM(OSRRefT22_10x_0)</f>
        <v>318</v>
      </c>
      <c r="U65" s="1"/>
      <c r="V65" s="5">
        <f t="shared" ref="V65:V68" si="59">IF(T$12=0,0,T65/T$12)</f>
        <v>6.7000969196409762E-3</v>
      </c>
      <c r="W65" s="1"/>
      <c r="X65" s="1">
        <f t="shared" ref="X65:X68" si="60">+P65-T65</f>
        <v>417.5</v>
      </c>
      <c r="Y65" s="1"/>
      <c r="Z65" s="5">
        <f t="shared" ref="Z65:Z68" si="61">IF(T65=0,0,X65/T65)</f>
        <v>1.3128930817610063</v>
      </c>
    </row>
    <row r="66" spans="1:26" s="24" customFormat="1" hidden="1" outlineLevel="2" x14ac:dyDescent="0.3">
      <c r="A66" s="29"/>
      <c r="B66" s="11" t="str">
        <f>CONCATENATE("          ", "6309", " - ", "TELEPHONE")</f>
        <v xml:space="preserve">          6309 - TELEPHONE</v>
      </c>
      <c r="C66" s="11"/>
      <c r="D66" s="6">
        <v>551.5</v>
      </c>
      <c r="E66" s="2"/>
      <c r="F66" s="7">
        <f t="shared" si="54"/>
        <v>0</v>
      </c>
      <c r="G66" s="2"/>
      <c r="H66" s="6">
        <v>53</v>
      </c>
      <c r="I66" s="2"/>
      <c r="J66" s="7">
        <f t="shared" si="55"/>
        <v>7.7941176470588238E-3</v>
      </c>
      <c r="K66" s="2"/>
      <c r="L66" s="6">
        <f t="shared" si="56"/>
        <v>498.5</v>
      </c>
      <c r="M66" s="2"/>
      <c r="N66" s="7">
        <f t="shared" si="57"/>
        <v>9.4056603773584904</v>
      </c>
      <c r="O66" s="11"/>
      <c r="P66" s="6">
        <v>735.5</v>
      </c>
      <c r="Q66" s="2"/>
      <c r="R66" s="7">
        <f t="shared" si="58"/>
        <v>0</v>
      </c>
      <c r="S66" s="2"/>
      <c r="T66" s="6">
        <v>318</v>
      </c>
      <c r="U66" s="2"/>
      <c r="V66" s="7">
        <f t="shared" si="59"/>
        <v>6.7000969196409762E-3</v>
      </c>
      <c r="W66" s="2"/>
      <c r="X66" s="6">
        <f t="shared" si="60"/>
        <v>417.5</v>
      </c>
      <c r="Y66" s="2"/>
      <c r="Z66" s="7">
        <f t="shared" si="61"/>
        <v>1.3128930817610063</v>
      </c>
    </row>
    <row r="67" spans="1:26" s="28" customFormat="1" outlineLevel="1" collapsed="1" x14ac:dyDescent="0.3">
      <c r="A67" s="27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SUM(OSRRefD22_11x_0)</f>
        <v>0</v>
      </c>
      <c r="E67" s="1"/>
      <c r="F67" s="5">
        <f t="shared" si="54"/>
        <v>0</v>
      </c>
      <c r="G67" s="1"/>
      <c r="H67" s="1">
        <f>SUM(OSRRefH22_11x_0)</f>
        <v>0</v>
      </c>
      <c r="I67" s="1"/>
      <c r="J67" s="5">
        <f t="shared" si="55"/>
        <v>0</v>
      </c>
      <c r="K67" s="1"/>
      <c r="L67" s="1">
        <f t="shared" si="56"/>
        <v>0</v>
      </c>
      <c r="M67" s="1"/>
      <c r="N67" s="5">
        <f t="shared" si="57"/>
        <v>0</v>
      </c>
      <c r="O67" s="14"/>
      <c r="P67" s="1">
        <f>SUM(OSRRefP22_11x_0)</f>
        <v>0</v>
      </c>
      <c r="Q67" s="1"/>
      <c r="R67" s="5">
        <f t="shared" si="58"/>
        <v>0</v>
      </c>
      <c r="S67" s="1"/>
      <c r="T67" s="1">
        <f>SUM(OSRRefT22_11x_0)</f>
        <v>75</v>
      </c>
      <c r="U67" s="1"/>
      <c r="V67" s="5">
        <f t="shared" si="59"/>
        <v>1.5802115376511736E-3</v>
      </c>
      <c r="W67" s="1"/>
      <c r="X67" s="1">
        <f t="shared" si="60"/>
        <v>-75</v>
      </c>
      <c r="Y67" s="1"/>
      <c r="Z67" s="5">
        <f t="shared" si="61"/>
        <v>-1</v>
      </c>
    </row>
    <row r="68" spans="1:26" s="24" customFormat="1" hidden="1" outlineLevel="2" x14ac:dyDescent="0.3">
      <c r="A68" s="29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75</v>
      </c>
      <c r="U68" s="2"/>
      <c r="V68" s="7">
        <f t="shared" si="59"/>
        <v>1.5802115376511736E-3</v>
      </c>
      <c r="W68" s="2"/>
      <c r="X68" s="6">
        <f t="shared" si="60"/>
        <v>-75</v>
      </c>
      <c r="Y68" s="2"/>
      <c r="Z68" s="7">
        <f t="shared" si="61"/>
        <v>-1</v>
      </c>
    </row>
    <row r="69" spans="1:26" s="55" customFormat="1" x14ac:dyDescent="0.3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3">
      <c r="A70" s="10"/>
      <c r="B70" s="25" t="s">
        <v>293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3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">
      <c r="A72" s="10"/>
      <c r="B72" s="26" t="s">
        <v>277</v>
      </c>
      <c r="C72" s="26"/>
      <c r="D72" s="20">
        <f>+D20-D22+D70</f>
        <v>-5106.0700000000006</v>
      </c>
      <c r="E72" s="13"/>
      <c r="F72" s="22">
        <f>IF(D$12=0,0,D72/D$12)</f>
        <v>0</v>
      </c>
      <c r="G72" s="13"/>
      <c r="H72" s="20">
        <f>+H20-H22+H70</f>
        <v>-1214.2235249999994</v>
      </c>
      <c r="I72" s="13"/>
      <c r="J72" s="22">
        <f>IF(H$12=0,0,H72/H$12)</f>
        <v>-0.17856228308823521</v>
      </c>
      <c r="K72" s="16"/>
      <c r="L72" s="20">
        <f>+D72-H72</f>
        <v>-3891.8464750000012</v>
      </c>
      <c r="M72" s="16"/>
      <c r="N72" s="22">
        <f>IF(H72=0,0,L72/H72)</f>
        <v>3.2052141923374471</v>
      </c>
      <c r="O72" s="25"/>
      <c r="P72" s="20">
        <f>+P20-P22+P70</f>
        <v>-21230.73</v>
      </c>
      <c r="Q72" s="13"/>
      <c r="R72" s="22">
        <f>IF(P$12=0,0,P72/P$12)</f>
        <v>0</v>
      </c>
      <c r="S72" s="13"/>
      <c r="T72" s="20">
        <f>+T20-T22+T70</f>
        <v>-16546.876449999996</v>
      </c>
      <c r="U72" s="13"/>
      <c r="V72" s="22">
        <f>IF(T$12=0,0,T72/T$12)</f>
        <v>-0.3486342010450465</v>
      </c>
      <c r="W72" s="16"/>
      <c r="X72" s="20">
        <f>+P72-T72</f>
        <v>-4683.8535500000035</v>
      </c>
      <c r="Y72" s="16"/>
      <c r="Z72" s="22">
        <f>IF(T72=0,0,X72/T72)</f>
        <v>0.28306572325920792</v>
      </c>
    </row>
    <row r="73" spans="1:26" x14ac:dyDescent="0.3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">
      <c r="A74" s="52"/>
      <c r="B74" s="10" t="s">
        <v>128</v>
      </c>
      <c r="C74" s="10"/>
      <c r="D74" s="4"/>
      <c r="E74" s="4"/>
      <c r="F74" s="12">
        <f>IF(D$12=0,0,D74/D$12)</f>
        <v>0</v>
      </c>
      <c r="G74" s="4"/>
      <c r="H74" s="4">
        <v>1062</v>
      </c>
      <c r="I74" s="4"/>
      <c r="J74" s="12">
        <f>IF(H$12=0,0,H74/H$12)</f>
        <v>0.15617647058823531</v>
      </c>
      <c r="K74" s="4"/>
      <c r="L74" s="4">
        <f>+D74-H74</f>
        <v>-1062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6144</v>
      </c>
      <c r="U74" s="4"/>
      <c r="V74" s="12">
        <f>IF(T$12=0,0,T74/T$12)</f>
        <v>0.12945092916438414</v>
      </c>
      <c r="W74" s="4"/>
      <c r="X74" s="4">
        <f>+P74-T74</f>
        <v>-6144</v>
      </c>
      <c r="Y74" s="4"/>
      <c r="Z74" s="12">
        <f>IF(T74=0,0,X74/T74)</f>
        <v>-1</v>
      </c>
    </row>
    <row r="75" spans="1:26" x14ac:dyDescent="0.3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" thickBot="1" x14ac:dyDescent="0.35">
      <c r="A76" s="10"/>
      <c r="B76" s="26" t="s">
        <v>126</v>
      </c>
      <c r="C76" s="26"/>
      <c r="D76" s="31">
        <f>+D72-D74</f>
        <v>-5106.0700000000006</v>
      </c>
      <c r="E76" s="13"/>
      <c r="F76" s="30">
        <f>IF(D$12=0,0,D76/D$12)</f>
        <v>0</v>
      </c>
      <c r="G76" s="13"/>
      <c r="H76" s="31">
        <f>+H72-H74</f>
        <v>-2276.2235249999994</v>
      </c>
      <c r="I76" s="13"/>
      <c r="J76" s="30">
        <f>IF(H$12=0,0,H76/H$12)</f>
        <v>-0.33473875367647049</v>
      </c>
      <c r="K76" s="16"/>
      <c r="L76" s="31">
        <f>D76-H76</f>
        <v>-2829.8464750000012</v>
      </c>
      <c r="M76" s="16"/>
      <c r="N76" s="30">
        <f>IF(H76=0,0,L76/H76)</f>
        <v>1.2432199403615258</v>
      </c>
      <c r="O76" s="25"/>
      <c r="P76" s="31">
        <f>+P72-P74</f>
        <v>-21230.73</v>
      </c>
      <c r="Q76" s="13"/>
      <c r="R76" s="30">
        <f>IF(P$12=0,0,P76/P$12)</f>
        <v>0</v>
      </c>
      <c r="S76" s="13"/>
      <c r="T76" s="31">
        <f>+T72-T74</f>
        <v>-22690.876449999996</v>
      </c>
      <c r="U76" s="13"/>
      <c r="V76" s="30">
        <f>IF(T$12=0,0,T76/T$12)</f>
        <v>-0.47808513020943061</v>
      </c>
      <c r="W76" s="16"/>
      <c r="X76" s="31">
        <f>P76-T76</f>
        <v>1460.1464499999965</v>
      </c>
      <c r="Y76" s="16"/>
      <c r="Z76" s="30">
        <f>IF(T76=0,0,X76/T76)</f>
        <v>-6.4349495411403418E-2</v>
      </c>
    </row>
    <row r="77" spans="1:26" ht="15" thickTop="1" x14ac:dyDescent="0.3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3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294</v>
      </c>
      <c r="C79" s="26"/>
      <c r="D79" s="35">
        <f>SUM(D76:D78)</f>
        <v>-5106.0700000000006</v>
      </c>
      <c r="E79" s="13"/>
      <c r="F79" s="34">
        <f>IF(D$12=0,0,D79/D$12)</f>
        <v>0</v>
      </c>
      <c r="G79" s="13"/>
      <c r="H79" s="35">
        <f>SUM(H76:H78)</f>
        <v>-2276.2235249999994</v>
      </c>
      <c r="I79" s="13"/>
      <c r="J79" s="34">
        <f>IF(H$12=0,0,H79/H$12)</f>
        <v>-0.33473875367647049</v>
      </c>
      <c r="K79" s="16"/>
      <c r="L79" s="35">
        <f>+D79-H79</f>
        <v>-2829.8464750000012</v>
      </c>
      <c r="M79" s="16"/>
      <c r="N79" s="34">
        <f>IF(H79=0,0,L79/H79)</f>
        <v>1.2432199403615258</v>
      </c>
      <c r="O79" s="25"/>
      <c r="P79" s="35">
        <f>SUM(P76:P78)</f>
        <v>-21230.73</v>
      </c>
      <c r="Q79" s="13"/>
      <c r="R79" s="34">
        <f>IF(P$12=0,0,P79/P$12)</f>
        <v>0</v>
      </c>
      <c r="S79" s="13"/>
      <c r="T79" s="35">
        <f>SUM(T76:T78)</f>
        <v>-22690.876449999996</v>
      </c>
      <c r="U79" s="13"/>
      <c r="V79" s="34">
        <f>IF(T$12=0,0,T79/T$12)</f>
        <v>-0.47808513020943061</v>
      </c>
      <c r="W79" s="16"/>
      <c r="X79" s="35">
        <f>+P79-T79</f>
        <v>1460.1464499999965</v>
      </c>
      <c r="Y79" s="16"/>
      <c r="Z79" s="34">
        <f>IF(T79=0,0,X79/T79)</f>
        <v>-6.4349495411403418E-2</v>
      </c>
    </row>
    <row r="80" spans="1:26" ht="15" thickTop="1" x14ac:dyDescent="0.3">
      <c r="A80" s="9"/>
      <c r="C80" s="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3">
      <c r="A81" s="9"/>
      <c r="B81" s="61">
        <v>44575.842125659721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">
      <c r="A82" s="9"/>
      <c r="B82" s="62" t="s">
        <v>56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3">
      <c r="A83" s="9"/>
      <c r="B83" s="53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3"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","325", " - ", "Outpost C-Store")</f>
        <v>Department 325 - Outpost C-Store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12407.470000000001</v>
      </c>
      <c r="E12" s="4"/>
      <c r="F12" s="12"/>
      <c r="G12" s="4"/>
      <c r="H12" s="4">
        <f>SUM(OSRRefH13x_0)</f>
        <v>16028</v>
      </c>
      <c r="I12" s="4"/>
      <c r="J12" s="12"/>
      <c r="K12" s="4"/>
      <c r="L12" s="4">
        <f t="shared" ref="L12:L14" si="0">+D12-H12</f>
        <v>-3620.5299999999988</v>
      </c>
      <c r="M12" s="4"/>
      <c r="N12" s="12">
        <f t="shared" ref="N12:N14" si="1">IF(H12=0,0,L12/H12)</f>
        <v>-0.22588782131270269</v>
      </c>
      <c r="O12" s="10"/>
      <c r="P12" s="4">
        <f>SUM(OSRRefP13x_0)</f>
        <v>75708.78</v>
      </c>
      <c r="Q12" s="4"/>
      <c r="R12" s="12"/>
      <c r="S12" s="4"/>
      <c r="T12" s="4">
        <f>SUM(OSRRefT13x_0)</f>
        <v>105836</v>
      </c>
      <c r="U12" s="4"/>
      <c r="V12" s="12"/>
      <c r="W12" s="4"/>
      <c r="X12" s="4">
        <f t="shared" ref="X12:X14" si="2">+P12-T12</f>
        <v>-30127.22</v>
      </c>
      <c r="Y12" s="4"/>
      <c r="Z12" s="12">
        <f t="shared" ref="Z12:Z14" si="3">IF(T12=0,0,X12/T12)</f>
        <v>-0.2846594731471333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--2128.3</f>
        <v>2128.3000000000002</v>
      </c>
      <c r="E13" s="2"/>
      <c r="F13" s="19"/>
      <c r="G13" s="2"/>
      <c r="H13" s="2">
        <v>2841</v>
      </c>
      <c r="I13" s="2"/>
      <c r="J13" s="19"/>
      <c r="K13" s="2"/>
      <c r="L13" s="2">
        <f t="shared" si="0"/>
        <v>-712.69999999999982</v>
      </c>
      <c r="M13" s="2"/>
      <c r="N13" s="19">
        <f t="shared" si="1"/>
        <v>-0.25086237240408299</v>
      </c>
      <c r="O13" s="11"/>
      <c r="P13" s="2">
        <f>--12750.65</f>
        <v>12750.65</v>
      </c>
      <c r="Q13" s="2"/>
      <c r="R13" s="19"/>
      <c r="S13" s="2"/>
      <c r="T13" s="2">
        <v>18760</v>
      </c>
      <c r="U13" s="2"/>
      <c r="V13" s="19"/>
      <c r="W13" s="2"/>
      <c r="X13" s="2">
        <f t="shared" si="2"/>
        <v>-6009.35</v>
      </c>
      <c r="Y13" s="2"/>
      <c r="Z13" s="19">
        <f t="shared" si="3"/>
        <v>-0.32032782515991476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--10279.17</f>
        <v>10279.17</v>
      </c>
      <c r="E14" s="2"/>
      <c r="F14" s="19"/>
      <c r="G14" s="2"/>
      <c r="H14" s="2">
        <v>13187</v>
      </c>
      <c r="I14" s="2"/>
      <c r="J14" s="19"/>
      <c r="K14" s="2"/>
      <c r="L14" s="2">
        <f t="shared" si="0"/>
        <v>-2907.83</v>
      </c>
      <c r="M14" s="2"/>
      <c r="N14" s="19">
        <f t="shared" si="1"/>
        <v>-0.22050731781299765</v>
      </c>
      <c r="O14" s="11"/>
      <c r="P14" s="2">
        <f>--62958.13</f>
        <v>62958.13</v>
      </c>
      <c r="Q14" s="2"/>
      <c r="R14" s="19"/>
      <c r="S14" s="2"/>
      <c r="T14" s="2">
        <v>87076</v>
      </c>
      <c r="U14" s="2"/>
      <c r="V14" s="19"/>
      <c r="W14" s="2"/>
      <c r="X14" s="2">
        <f t="shared" si="2"/>
        <v>-24117.870000000003</v>
      </c>
      <c r="Y14" s="2"/>
      <c r="Z14" s="19">
        <f t="shared" si="3"/>
        <v>-0.27697494143047457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7713.2900000000009</v>
      </c>
      <c r="E16" s="4"/>
      <c r="F16" s="12">
        <f t="shared" ref="F16:F19" si="4">IF(D$12=0,0,D16/D$12)</f>
        <v>0.62166501309291899</v>
      </c>
      <c r="G16" s="4"/>
      <c r="H16" s="4">
        <f>SUM(OSRRefH16x_0)</f>
        <v>7854</v>
      </c>
      <c r="I16" s="4"/>
      <c r="J16" s="12">
        <f t="shared" ref="J16:J19" si="5">IF(H$12=0,0,H16/H$12)</f>
        <v>0.49001746942850011</v>
      </c>
      <c r="K16" s="4"/>
      <c r="L16" s="4">
        <f t="shared" ref="L16:L19" si="6">+D16-H16</f>
        <v>-140.70999999999913</v>
      </c>
      <c r="M16" s="4"/>
      <c r="N16" s="12">
        <f t="shared" ref="N16:N19" si="7">IF(H16=0,0,L16/H16)</f>
        <v>-1.7915711739241041E-2</v>
      </c>
      <c r="O16" s="10"/>
      <c r="P16" s="4">
        <f>SUM(OSRRefP16x_0)</f>
        <v>37827.11</v>
      </c>
      <c r="Q16" s="4"/>
      <c r="R16" s="12">
        <f t="shared" ref="R16:R19" si="8">IF(P$12=0,0,P16/P$12)</f>
        <v>0.4996396719112367</v>
      </c>
      <c r="S16" s="4"/>
      <c r="T16" s="4">
        <f>SUM(OSRRefT16x_0)</f>
        <v>51860</v>
      </c>
      <c r="U16" s="4"/>
      <c r="V16" s="12">
        <f t="shared" ref="V16:V19" si="9">IF(T$12=0,0,T16/T$12)</f>
        <v>0.49000340148909632</v>
      </c>
      <c r="W16" s="4"/>
      <c r="X16" s="4">
        <f t="shared" ref="X16:X19" si="10">+P16-T16</f>
        <v>-14032.89</v>
      </c>
      <c r="Y16" s="4"/>
      <c r="Z16" s="12">
        <f t="shared" ref="Z16:Z19" si="11">IF(T16=0,0,X16/T16)</f>
        <v>-0.27059178557655222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7854</v>
      </c>
      <c r="I17" s="2"/>
      <c r="J17" s="19">
        <f t="shared" si="5"/>
        <v>0.49001746942850011</v>
      </c>
      <c r="K17" s="2"/>
      <c r="L17" s="2">
        <f t="shared" si="6"/>
        <v>-7854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51860</v>
      </c>
      <c r="U17" s="2"/>
      <c r="V17" s="19">
        <f t="shared" si="9"/>
        <v>0.49000340148909632</v>
      </c>
      <c r="W17" s="2"/>
      <c r="X17" s="2">
        <f t="shared" si="10"/>
        <v>-51860</v>
      </c>
      <c r="Y17" s="2"/>
      <c r="Z17" s="19">
        <f t="shared" si="11"/>
        <v>-1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1757.73</v>
      </c>
      <c r="E18" s="2"/>
      <c r="F18" s="19">
        <f t="shared" si="4"/>
        <v>0.14166707636609235</v>
      </c>
      <c r="G18" s="2"/>
      <c r="H18" s="2"/>
      <c r="I18" s="2"/>
      <c r="J18" s="19">
        <f t="shared" si="5"/>
        <v>0</v>
      </c>
      <c r="K18" s="2"/>
      <c r="L18" s="2">
        <f t="shared" si="6"/>
        <v>1757.73</v>
      </c>
      <c r="M18" s="2"/>
      <c r="N18" s="19">
        <f t="shared" si="7"/>
        <v>0</v>
      </c>
      <c r="O18" s="11"/>
      <c r="P18" s="2">
        <v>41654.19</v>
      </c>
      <c r="Q18" s="2"/>
      <c r="R18" s="19">
        <f t="shared" si="8"/>
        <v>0.55018968737839924</v>
      </c>
      <c r="S18" s="2"/>
      <c r="T18" s="2"/>
      <c r="U18" s="2"/>
      <c r="V18" s="19">
        <f t="shared" si="9"/>
        <v>0</v>
      </c>
      <c r="W18" s="2"/>
      <c r="X18" s="2">
        <f t="shared" si="10"/>
        <v>41654.19</v>
      </c>
      <c r="Y18" s="2"/>
      <c r="Z18" s="19">
        <f t="shared" si="11"/>
        <v>0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5955.56</v>
      </c>
      <c r="E19" s="2"/>
      <c r="F19" s="19">
        <f t="shared" si="4"/>
        <v>0.47999793672682667</v>
      </c>
      <c r="G19" s="2"/>
      <c r="H19" s="2"/>
      <c r="I19" s="2"/>
      <c r="J19" s="19">
        <f t="shared" si="5"/>
        <v>0</v>
      </c>
      <c r="K19" s="2"/>
      <c r="L19" s="2">
        <f t="shared" si="6"/>
        <v>5955.56</v>
      </c>
      <c r="M19" s="2"/>
      <c r="N19" s="19">
        <f t="shared" si="7"/>
        <v>0</v>
      </c>
      <c r="O19" s="11"/>
      <c r="P19" s="2">
        <v>-3827.08</v>
      </c>
      <c r="Q19" s="2"/>
      <c r="R19" s="19">
        <f t="shared" si="8"/>
        <v>-5.0550015467162458E-2</v>
      </c>
      <c r="S19" s="2"/>
      <c r="T19" s="2"/>
      <c r="U19" s="2"/>
      <c r="V19" s="19">
        <f t="shared" si="9"/>
        <v>0</v>
      </c>
      <c r="W19" s="2"/>
      <c r="X19" s="2">
        <f t="shared" si="10"/>
        <v>-3827.08</v>
      </c>
      <c r="Y19" s="2"/>
      <c r="Z19" s="19">
        <f t="shared" si="11"/>
        <v>0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108</v>
      </c>
      <c r="C21" s="26"/>
      <c r="D21" s="20">
        <f>D12-D16</f>
        <v>4694.18</v>
      </c>
      <c r="E21" s="13"/>
      <c r="F21" s="22">
        <f>IF(D$12=0,0,D21/D$12)</f>
        <v>0.37833498690708095</v>
      </c>
      <c r="G21" s="13"/>
      <c r="H21" s="20">
        <f>H12-H16</f>
        <v>8174</v>
      </c>
      <c r="I21" s="13"/>
      <c r="J21" s="22">
        <f>IF(H$12=0,0,H21/H$12)</f>
        <v>0.50998253057149989</v>
      </c>
      <c r="K21" s="16"/>
      <c r="L21" s="20">
        <f>+D21-H21</f>
        <v>-3479.8199999999997</v>
      </c>
      <c r="M21" s="16"/>
      <c r="N21" s="22">
        <f>IF(H21=0,0,L21/H21)</f>
        <v>-0.42571813065818448</v>
      </c>
      <c r="O21" s="25"/>
      <c r="P21" s="20">
        <f>P12-P16</f>
        <v>37881.67</v>
      </c>
      <c r="Q21" s="13"/>
      <c r="R21" s="22">
        <f>IF(P$12=0,0,P21/P$12)</f>
        <v>0.5003603280887633</v>
      </c>
      <c r="S21" s="13"/>
      <c r="T21" s="20">
        <f>T12-T16</f>
        <v>53976</v>
      </c>
      <c r="U21" s="13"/>
      <c r="V21" s="22">
        <f>IF(T$12=0,0,T21/T$12)</f>
        <v>0.50999659851090362</v>
      </c>
      <c r="W21" s="16"/>
      <c r="X21" s="20">
        <f>+P21-T21</f>
        <v>-16094.330000000002</v>
      </c>
      <c r="Y21" s="16"/>
      <c r="Z21" s="22">
        <f>IF(T21=0,0,X21/T21)</f>
        <v>-0.29817567066844525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295</v>
      </c>
      <c r="C23" s="10"/>
      <c r="D23" s="21">
        <f>SUM(OSRRefD22x_0)</f>
        <v>15752.84</v>
      </c>
      <c r="E23" s="21"/>
      <c r="F23" s="32">
        <f t="shared" ref="F23:F33" si="12">IF(D$12=0,0,D23/D$12)</f>
        <v>1.2696254756207348</v>
      </c>
      <c r="G23" s="21"/>
      <c r="H23" s="21">
        <f>SUM(OSRRefH22x_0)</f>
        <v>26776.282512307691</v>
      </c>
      <c r="I23" s="21"/>
      <c r="J23" s="32">
        <f t="shared" ref="J23:J33" si="13">IF(H$12=0,0,H23/H$12)</f>
        <v>1.6705941173139314</v>
      </c>
      <c r="K23" s="4"/>
      <c r="L23" s="21">
        <f t="shared" ref="L23:L33" si="14">+D23-H23</f>
        <v>-11023.442512307691</v>
      </c>
      <c r="M23" s="4"/>
      <c r="N23" s="32">
        <f t="shared" ref="N23:N33" si="15">IF(H23=0,0,L23/H23)</f>
        <v>-0.41168681676557517</v>
      </c>
      <c r="O23" s="10"/>
      <c r="P23" s="21">
        <f>SUM(OSRRefP22x_0)</f>
        <v>99582.29</v>
      </c>
      <c r="Q23" s="21"/>
      <c r="R23" s="32">
        <f t="shared" ref="R23:R33" si="16">IF(P$12=0,0,P23/P$12)</f>
        <v>1.3153334395297347</v>
      </c>
      <c r="S23" s="21"/>
      <c r="T23" s="21">
        <f>SUM(OSRRefT22x_0)</f>
        <v>163367.03598000002</v>
      </c>
      <c r="U23" s="21"/>
      <c r="V23" s="32">
        <f t="shared" ref="V23:V33" si="17">IF(T$12=0,0,T23/T$12)</f>
        <v>1.543586643297177</v>
      </c>
      <c r="W23" s="4"/>
      <c r="X23" s="21">
        <f t="shared" ref="X23:X33" si="18">+P23-T23</f>
        <v>-63784.745980000022</v>
      </c>
      <c r="Y23" s="4"/>
      <c r="Z23" s="32">
        <f t="shared" ref="Z23:Z33" si="19">IF(T23=0,0,X23/T23)</f>
        <v>-0.3904382888345283</v>
      </c>
    </row>
    <row r="24" spans="1:26" s="28" customFormat="1" outlineLevel="1" collapsed="1" x14ac:dyDescent="0.3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303.02999999999997</v>
      </c>
      <c r="E24" s="1"/>
      <c r="F24" s="5">
        <f t="shared" si="12"/>
        <v>2.4423190223309018E-2</v>
      </c>
      <c r="G24" s="1"/>
      <c r="H24" s="1">
        <f>SUM(OSRRefH22_0x_0)</f>
        <v>3929.433281538461</v>
      </c>
      <c r="I24" s="1"/>
      <c r="J24" s="5">
        <f t="shared" si="13"/>
        <v>0.24516054913516727</v>
      </c>
      <c r="K24" s="1"/>
      <c r="L24" s="1">
        <f t="shared" si="14"/>
        <v>-3626.4032815384608</v>
      </c>
      <c r="M24" s="1"/>
      <c r="N24" s="5">
        <f t="shared" si="15"/>
        <v>-0.92288200911217477</v>
      </c>
      <c r="O24" s="14"/>
      <c r="P24" s="1">
        <f>SUM(OSRRefP22_0x_0)</f>
        <v>1564.32</v>
      </c>
      <c r="Q24" s="1"/>
      <c r="R24" s="5">
        <f t="shared" si="16"/>
        <v>2.0662332691135692E-2</v>
      </c>
      <c r="S24" s="1"/>
      <c r="T24" s="1">
        <f>SUM(OSRRefT22_0x_0)</f>
        <v>23993.01598</v>
      </c>
      <c r="U24" s="1"/>
      <c r="V24" s="5">
        <f t="shared" si="17"/>
        <v>0.22669995067840809</v>
      </c>
      <c r="W24" s="1"/>
      <c r="X24" s="1">
        <f t="shared" si="18"/>
        <v>-22428.69598</v>
      </c>
      <c r="Y24" s="1"/>
      <c r="Z24" s="5">
        <f t="shared" si="19"/>
        <v>-0.93480102704453749</v>
      </c>
    </row>
    <row r="25" spans="1:26" s="24" customFormat="1" hidden="1" outlineLevel="2" x14ac:dyDescent="0.3">
      <c r="A25" s="29"/>
      <c r="B25" s="11" t="str">
        <f>CONCATENATE("          ", "6111", " - ", "F.I.C.A.")</f>
        <v xml:space="preserve">          6111 - F.I.C.A.</v>
      </c>
      <c r="C25" s="11"/>
      <c r="D25" s="6">
        <v>209.7</v>
      </c>
      <c r="E25" s="2"/>
      <c r="F25" s="7">
        <f t="shared" si="12"/>
        <v>1.6901108767540841E-2</v>
      </c>
      <c r="G25" s="2"/>
      <c r="H25" s="6">
        <v>452.83389692307702</v>
      </c>
      <c r="I25" s="2"/>
      <c r="J25" s="7">
        <f t="shared" si="13"/>
        <v>2.8252676374037746E-2</v>
      </c>
      <c r="K25" s="2"/>
      <c r="L25" s="6">
        <f t="shared" si="14"/>
        <v>-243.13389692307703</v>
      </c>
      <c r="M25" s="2"/>
      <c r="N25" s="7">
        <f t="shared" si="15"/>
        <v>-0.53691629221029413</v>
      </c>
      <c r="O25" s="11"/>
      <c r="P25" s="6">
        <v>1068.19</v>
      </c>
      <c r="Q25" s="2"/>
      <c r="R25" s="7">
        <f t="shared" si="16"/>
        <v>1.4109195789444766E-2</v>
      </c>
      <c r="S25" s="2"/>
      <c r="T25" s="6">
        <v>2859.6199799999999</v>
      </c>
      <c r="U25" s="2"/>
      <c r="V25" s="7">
        <f t="shared" si="17"/>
        <v>2.7019350504554215E-2</v>
      </c>
      <c r="W25" s="2"/>
      <c r="X25" s="6">
        <f t="shared" si="18"/>
        <v>-1791.4299799999999</v>
      </c>
      <c r="Y25" s="2"/>
      <c r="Z25" s="7">
        <f t="shared" si="19"/>
        <v>-0.62645735885507414</v>
      </c>
    </row>
    <row r="26" spans="1:26" s="24" customFormat="1" hidden="1" outlineLevel="2" x14ac:dyDescent="0.3">
      <c r="A26" s="29"/>
      <c r="B26" s="11" t="str">
        <f>CONCATENATE("          ", "6112", " - ", "COMPENSATION INSURANCE")</f>
        <v xml:space="preserve">          6112 - COMPENSATION INSURANCE</v>
      </c>
      <c r="C26" s="11"/>
      <c r="D26" s="6">
        <v>62.37</v>
      </c>
      <c r="E26" s="2"/>
      <c r="F26" s="7">
        <f t="shared" si="12"/>
        <v>5.0268104617621472E-3</v>
      </c>
      <c r="G26" s="2"/>
      <c r="H26" s="6">
        <v>421.10981538461499</v>
      </c>
      <c r="I26" s="2"/>
      <c r="J26" s="7">
        <f t="shared" si="13"/>
        <v>2.6273385037722422E-2</v>
      </c>
      <c r="K26" s="2"/>
      <c r="L26" s="6">
        <f t="shared" si="14"/>
        <v>-358.73981538461499</v>
      </c>
      <c r="M26" s="2"/>
      <c r="N26" s="7">
        <f t="shared" si="15"/>
        <v>-0.85189136486159744</v>
      </c>
      <c r="O26" s="11"/>
      <c r="P26" s="6">
        <v>355.35</v>
      </c>
      <c r="Q26" s="2"/>
      <c r="R26" s="7">
        <f t="shared" si="16"/>
        <v>4.6936431943560581E-3</v>
      </c>
      <c r="S26" s="2"/>
      <c r="T26" s="6">
        <v>2479.4938000000002</v>
      </c>
      <c r="U26" s="2"/>
      <c r="V26" s="7">
        <f t="shared" si="17"/>
        <v>2.3427697569825014E-2</v>
      </c>
      <c r="W26" s="2"/>
      <c r="X26" s="6">
        <f t="shared" si="18"/>
        <v>-2124.1438000000003</v>
      </c>
      <c r="Y26" s="2"/>
      <c r="Z26" s="7">
        <f t="shared" si="19"/>
        <v>-0.85668445712588603</v>
      </c>
    </row>
    <row r="27" spans="1:26" s="24" customFormat="1" hidden="1" outlineLevel="2" x14ac:dyDescent="0.3">
      <c r="A27" s="29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2"/>
        <v>0</v>
      </c>
      <c r="G27" s="2"/>
      <c r="H27" s="6">
        <v>1977</v>
      </c>
      <c r="I27" s="2"/>
      <c r="J27" s="7">
        <f t="shared" si="13"/>
        <v>0.12334664337409533</v>
      </c>
      <c r="K27" s="2"/>
      <c r="L27" s="6">
        <f t="shared" si="14"/>
        <v>-1977</v>
      </c>
      <c r="M27" s="2"/>
      <c r="N27" s="7">
        <f t="shared" si="15"/>
        <v>-1</v>
      </c>
      <c r="O27" s="11"/>
      <c r="P27" s="6"/>
      <c r="Q27" s="2"/>
      <c r="R27" s="7">
        <f t="shared" si="16"/>
        <v>0</v>
      </c>
      <c r="S27" s="2"/>
      <c r="T27" s="6">
        <v>11862</v>
      </c>
      <c r="U27" s="2"/>
      <c r="V27" s="7">
        <f t="shared" si="17"/>
        <v>0.1120790657243282</v>
      </c>
      <c r="W27" s="2"/>
      <c r="X27" s="6">
        <f t="shared" si="18"/>
        <v>-11862</v>
      </c>
      <c r="Y27" s="2"/>
      <c r="Z27" s="7">
        <f t="shared" si="19"/>
        <v>-1</v>
      </c>
    </row>
    <row r="28" spans="1:26" s="24" customFormat="1" hidden="1" outlineLevel="2" x14ac:dyDescent="0.3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10.96</v>
      </c>
      <c r="E28" s="2"/>
      <c r="F28" s="7">
        <f t="shared" si="12"/>
        <v>8.8333882733546804E-4</v>
      </c>
      <c r="G28" s="2"/>
      <c r="H28" s="6">
        <v>23.3332615384615</v>
      </c>
      <c r="I28" s="2"/>
      <c r="J28" s="7">
        <f t="shared" si="13"/>
        <v>1.4557812290030884E-3</v>
      </c>
      <c r="K28" s="2"/>
      <c r="L28" s="6">
        <f t="shared" si="14"/>
        <v>-12.373261538461499</v>
      </c>
      <c r="M28" s="2"/>
      <c r="N28" s="7">
        <f t="shared" si="15"/>
        <v>-0.53028426900654113</v>
      </c>
      <c r="O28" s="11"/>
      <c r="P28" s="6">
        <v>60.78</v>
      </c>
      <c r="Q28" s="2"/>
      <c r="R28" s="7">
        <f t="shared" si="16"/>
        <v>8.02813095125823E-4</v>
      </c>
      <c r="S28" s="2"/>
      <c r="T28" s="6">
        <v>137.3862</v>
      </c>
      <c r="U28" s="2"/>
      <c r="V28" s="7">
        <f t="shared" si="17"/>
        <v>1.2981046146868741E-3</v>
      </c>
      <c r="W28" s="2"/>
      <c r="X28" s="6">
        <f t="shared" si="18"/>
        <v>-76.606200000000001</v>
      </c>
      <c r="Y28" s="2"/>
      <c r="Z28" s="7">
        <f t="shared" si="19"/>
        <v>-0.55759748795730579</v>
      </c>
    </row>
    <row r="29" spans="1:26" s="24" customFormat="1" hidden="1" outlineLevel="2" x14ac:dyDescent="0.3">
      <c r="A29" s="29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2"/>
        <v>0</v>
      </c>
      <c r="G29" s="2"/>
      <c r="H29" s="6">
        <v>397.928615384615</v>
      </c>
      <c r="I29" s="2"/>
      <c r="J29" s="7">
        <f t="shared" si="13"/>
        <v>2.4827091052197093E-2</v>
      </c>
      <c r="K29" s="2"/>
      <c r="L29" s="6">
        <f t="shared" si="14"/>
        <v>-397.928615384615</v>
      </c>
      <c r="M29" s="2"/>
      <c r="N29" s="7">
        <f t="shared" si="15"/>
        <v>-1</v>
      </c>
      <c r="O29" s="11"/>
      <c r="P29" s="6"/>
      <c r="Q29" s="2"/>
      <c r="R29" s="7">
        <f t="shared" si="16"/>
        <v>0</v>
      </c>
      <c r="S29" s="2"/>
      <c r="T29" s="6">
        <v>2586.5360000000001</v>
      </c>
      <c r="U29" s="2"/>
      <c r="V29" s="7">
        <f t="shared" si="17"/>
        <v>2.4439094448013909E-2</v>
      </c>
      <c r="W29" s="2"/>
      <c r="X29" s="6">
        <f t="shared" si="18"/>
        <v>-2586.5360000000001</v>
      </c>
      <c r="Y29" s="2"/>
      <c r="Z29" s="7">
        <f t="shared" si="19"/>
        <v>-1</v>
      </c>
    </row>
    <row r="30" spans="1:26" s="24" customFormat="1" hidden="1" outlineLevel="2" x14ac:dyDescent="0.3">
      <c r="A30" s="29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3">
      <c r="A31" s="29"/>
      <c r="B31" s="11" t="str">
        <f>CONCATENATE("          ", "6118", " - ", "VACATION")</f>
        <v xml:space="preserve">          6118 - VACATION</v>
      </c>
      <c r="C31" s="11"/>
      <c r="D31" s="6"/>
      <c r="E31" s="2"/>
      <c r="F31" s="7">
        <f t="shared" si="12"/>
        <v>0</v>
      </c>
      <c r="G31" s="2"/>
      <c r="H31" s="6">
        <v>231.35384615384601</v>
      </c>
      <c r="I31" s="2"/>
      <c r="J31" s="7">
        <f t="shared" si="13"/>
        <v>1.4434355262905291E-2</v>
      </c>
      <c r="K31" s="2"/>
      <c r="L31" s="6">
        <f t="shared" si="14"/>
        <v>-231.35384615384601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1503.8</v>
      </c>
      <c r="U31" s="2"/>
      <c r="V31" s="7">
        <f t="shared" si="17"/>
        <v>1.420877584186855E-2</v>
      </c>
      <c r="W31" s="2"/>
      <c r="X31" s="6">
        <f t="shared" si="18"/>
        <v>-1503.8</v>
      </c>
      <c r="Y31" s="2"/>
      <c r="Z31" s="7">
        <f t="shared" si="19"/>
        <v>-1</v>
      </c>
    </row>
    <row r="32" spans="1:26" s="24" customFormat="1" hidden="1" outlineLevel="2" x14ac:dyDescent="0.3">
      <c r="A32" s="29"/>
      <c r="B32" s="11" t="str">
        <f>CONCATENATE("          ", "6119", " - ", "SICK LEAVE")</f>
        <v xml:space="preserve">          6119 - SICK LEAVE</v>
      </c>
      <c r="C32" s="11"/>
      <c r="D32" s="6"/>
      <c r="E32" s="2"/>
      <c r="F32" s="7">
        <f t="shared" si="12"/>
        <v>0</v>
      </c>
      <c r="G32" s="2"/>
      <c r="H32" s="6">
        <v>425.87384615384599</v>
      </c>
      <c r="I32" s="2"/>
      <c r="J32" s="7">
        <f t="shared" si="13"/>
        <v>2.6570616805206265E-2</v>
      </c>
      <c r="K32" s="2"/>
      <c r="L32" s="6">
        <f t="shared" si="14"/>
        <v>-425.87384615384599</v>
      </c>
      <c r="M32" s="2"/>
      <c r="N32" s="7">
        <f t="shared" si="15"/>
        <v>-1</v>
      </c>
      <c r="O32" s="11"/>
      <c r="P32" s="6"/>
      <c r="Q32" s="2"/>
      <c r="R32" s="7">
        <f t="shared" si="16"/>
        <v>0</v>
      </c>
      <c r="S32" s="2"/>
      <c r="T32" s="6">
        <v>2564.1799999999998</v>
      </c>
      <c r="U32" s="2"/>
      <c r="V32" s="7">
        <f t="shared" si="17"/>
        <v>2.4227861975131333E-2</v>
      </c>
      <c r="W32" s="2"/>
      <c r="X32" s="6">
        <f t="shared" si="18"/>
        <v>-2564.1799999999998</v>
      </c>
      <c r="Y32" s="2"/>
      <c r="Z32" s="7">
        <f t="shared" si="19"/>
        <v>-1</v>
      </c>
    </row>
    <row r="33" spans="1:26" s="24" customFormat="1" hidden="1" outlineLevel="2" x14ac:dyDescent="0.3">
      <c r="A33" s="29"/>
      <c r="B33" s="11" t="str">
        <f>CONCATENATE("          ", "6156", " - ", "EMPLOYEE MEALS")</f>
        <v xml:space="preserve">          6156 - EMPLOYEE MEALS</v>
      </c>
      <c r="C33" s="11"/>
      <c r="D33" s="6">
        <v>20</v>
      </c>
      <c r="E33" s="2"/>
      <c r="F33" s="7">
        <f t="shared" si="12"/>
        <v>1.6119321666705621E-3</v>
      </c>
      <c r="G33" s="2"/>
      <c r="H33" s="6"/>
      <c r="I33" s="2"/>
      <c r="J33" s="7">
        <f t="shared" si="13"/>
        <v>0</v>
      </c>
      <c r="K33" s="2"/>
      <c r="L33" s="6">
        <f t="shared" si="14"/>
        <v>20</v>
      </c>
      <c r="M33" s="2"/>
      <c r="N33" s="7">
        <f t="shared" si="15"/>
        <v>0</v>
      </c>
      <c r="O33" s="11"/>
      <c r="P33" s="6">
        <v>80</v>
      </c>
      <c r="Q33" s="2"/>
      <c r="R33" s="7">
        <f t="shared" si="16"/>
        <v>1.0566806122090462E-3</v>
      </c>
      <c r="S33" s="2"/>
      <c r="T33" s="6"/>
      <c r="U33" s="2"/>
      <c r="V33" s="7">
        <f t="shared" si="17"/>
        <v>0</v>
      </c>
      <c r="W33" s="2"/>
      <c r="X33" s="6">
        <f t="shared" si="18"/>
        <v>80</v>
      </c>
      <c r="Y33" s="2"/>
      <c r="Z33" s="7">
        <f t="shared" si="19"/>
        <v>0</v>
      </c>
    </row>
    <row r="34" spans="1:26" s="28" customFormat="1" outlineLevel="1" collapsed="1" x14ac:dyDescent="0.3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3939.8999999999996</v>
      </c>
      <c r="E34" s="1"/>
      <c r="F34" s="5">
        <f t="shared" ref="F34:F44" si="20">IF(D$12=0,0,D34/D$12)</f>
        <v>0.31754257717326734</v>
      </c>
      <c r="G34" s="1"/>
      <c r="H34" s="1">
        <f>SUM(OSRRefH22_1x_0)</f>
        <v>10453.84923076923</v>
      </c>
      <c r="I34" s="1"/>
      <c r="J34" s="5">
        <f t="shared" ref="J34:J44" si="21">IF(H$12=0,0,H34/H$12)</f>
        <v>0.65222418460002685</v>
      </c>
      <c r="K34" s="1"/>
      <c r="L34" s="1">
        <f t="shared" ref="L34:L44" si="22">+D34-H34</f>
        <v>-6513.9492307692308</v>
      </c>
      <c r="M34" s="1"/>
      <c r="N34" s="5">
        <f t="shared" ref="N34:N44" si="23">IF(H34=0,0,L34/H34)</f>
        <v>-0.62311490121710045</v>
      </c>
      <c r="O34" s="14"/>
      <c r="P34" s="1">
        <f>SUM(OSRRefP22_1x_0)</f>
        <v>21940.690000000002</v>
      </c>
      <c r="Q34" s="1"/>
      <c r="R34" s="5">
        <f t="shared" ref="R34:R44" si="24">IF(P$12=0,0,P34/P$12)</f>
        <v>0.28980377176861127</v>
      </c>
      <c r="S34" s="1"/>
      <c r="T34" s="1">
        <f>SUM(OSRRefT22_1x_0)</f>
        <v>61354.020000000004</v>
      </c>
      <c r="U34" s="1"/>
      <c r="V34" s="5">
        <f t="shared" ref="V34:V44" si="25">IF(T$12=0,0,T34/T$12)</f>
        <v>0.57970841679579732</v>
      </c>
      <c r="W34" s="1"/>
      <c r="X34" s="1">
        <f t="shared" ref="X34:X44" si="26">+P34-T34</f>
        <v>-39413.33</v>
      </c>
      <c r="Y34" s="1"/>
      <c r="Z34" s="5">
        <f t="shared" ref="Z34:Z44" si="27">IF(T34=0,0,X34/T34)</f>
        <v>-0.64239197366366541</v>
      </c>
    </row>
    <row r="35" spans="1:26" s="24" customFormat="1" hidden="1" outlineLevel="2" x14ac:dyDescent="0.3">
      <c r="A35" s="29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3">
      <c r="A36" s="29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0"/>
        <v>0</v>
      </c>
      <c r="G36" s="2"/>
      <c r="H36" s="6">
        <v>4164.3692307692299</v>
      </c>
      <c r="I36" s="2"/>
      <c r="J36" s="7">
        <f t="shared" si="21"/>
        <v>0.25981839473229534</v>
      </c>
      <c r="K36" s="2"/>
      <c r="L36" s="6">
        <f t="shared" si="22"/>
        <v>-4164.3692307692299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27068.400000000001</v>
      </c>
      <c r="U36" s="2"/>
      <c r="V36" s="7">
        <f t="shared" si="25"/>
        <v>0.25575796515363391</v>
      </c>
      <c r="W36" s="2"/>
      <c r="X36" s="6">
        <f t="shared" si="26"/>
        <v>-27068.400000000001</v>
      </c>
      <c r="Y36" s="2"/>
      <c r="Z36" s="7">
        <f t="shared" si="27"/>
        <v>-1</v>
      </c>
    </row>
    <row r="37" spans="1:26" s="24" customFormat="1" hidden="1" outlineLevel="2" x14ac:dyDescent="0.3">
      <c r="A37" s="29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9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1251.3</v>
      </c>
      <c r="I38" s="2"/>
      <c r="J38" s="7">
        <f t="shared" si="21"/>
        <v>7.8069628150736203E-2</v>
      </c>
      <c r="K38" s="2"/>
      <c r="L38" s="6">
        <f t="shared" si="22"/>
        <v>-1251.3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7071.3</v>
      </c>
      <c r="U38" s="2"/>
      <c r="V38" s="7">
        <f t="shared" si="25"/>
        <v>6.6813749574813869E-2</v>
      </c>
      <c r="W38" s="2"/>
      <c r="X38" s="6">
        <f t="shared" si="26"/>
        <v>-7071.3</v>
      </c>
      <c r="Y38" s="2"/>
      <c r="Z38" s="7">
        <f t="shared" si="27"/>
        <v>-1</v>
      </c>
    </row>
    <row r="39" spans="1:26" s="24" customFormat="1" hidden="1" outlineLevel="2" x14ac:dyDescent="0.3">
      <c r="A39" s="29"/>
      <c r="B39" s="11" t="str">
        <f>CONCATENATE("          ", "6005", " - ", "TEMPORARY WAGES-HOURLY")</f>
        <v xml:space="preserve">          6005 - TEMPORARY WAGES-HOURLY</v>
      </c>
      <c r="C39" s="11"/>
      <c r="D39" s="6">
        <v>2741.1</v>
      </c>
      <c r="E39" s="2"/>
      <c r="F39" s="7">
        <f t="shared" si="20"/>
        <v>0.22092336310303387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2741.1</v>
      </c>
      <c r="M39" s="2"/>
      <c r="N39" s="7">
        <f t="shared" si="23"/>
        <v>0</v>
      </c>
      <c r="O39" s="11"/>
      <c r="P39" s="6">
        <v>13114.65</v>
      </c>
      <c r="Q39" s="2"/>
      <c r="R39" s="7">
        <f t="shared" si="24"/>
        <v>0.1732249548863421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13114.65</v>
      </c>
      <c r="Y39" s="2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"6007", " - ", "STUDENT HOURLY")</f>
        <v xml:space="preserve">          6007 - STUDENT HOURLY</v>
      </c>
      <c r="C41" s="11"/>
      <c r="D41" s="6">
        <v>1198.8</v>
      </c>
      <c r="E41" s="2"/>
      <c r="F41" s="7">
        <f t="shared" si="20"/>
        <v>9.6619214070233481E-2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1198.8</v>
      </c>
      <c r="M41" s="2"/>
      <c r="N41" s="7">
        <f t="shared" si="23"/>
        <v>0</v>
      </c>
      <c r="O41" s="11"/>
      <c r="P41" s="6">
        <v>8826.0400000000009</v>
      </c>
      <c r="Q41" s="2"/>
      <c r="R41" s="7">
        <f t="shared" si="24"/>
        <v>0.11657881688226915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8826.0400000000009</v>
      </c>
      <c r="Y41" s="2"/>
      <c r="Z41" s="7">
        <f t="shared" si="27"/>
        <v>0</v>
      </c>
    </row>
    <row r="42" spans="1:26" s="24" customFormat="1" hidden="1" outlineLevel="2" x14ac:dyDescent="0.3">
      <c r="A42" s="29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0"/>
        <v>0</v>
      </c>
      <c r="G42" s="2"/>
      <c r="H42" s="6">
        <v>5038.18</v>
      </c>
      <c r="I42" s="2"/>
      <c r="J42" s="7">
        <f t="shared" si="21"/>
        <v>0.3143361617169953</v>
      </c>
      <c r="K42" s="2"/>
      <c r="L42" s="6">
        <f t="shared" si="22"/>
        <v>-5038.18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27214.32</v>
      </c>
      <c r="U42" s="2"/>
      <c r="V42" s="7">
        <f t="shared" si="25"/>
        <v>0.25713670206734945</v>
      </c>
      <c r="W42" s="2"/>
      <c r="X42" s="6">
        <f t="shared" si="26"/>
        <v>-27214.32</v>
      </c>
      <c r="Y42" s="2"/>
      <c r="Z42" s="7">
        <f t="shared" si="27"/>
        <v>-1</v>
      </c>
    </row>
    <row r="43" spans="1:26" s="24" customFormat="1" hidden="1" outlineLevel="2" x14ac:dyDescent="0.3">
      <c r="A43" s="29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8" customFormat="1" outlineLevel="1" collapsed="1" x14ac:dyDescent="0.3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3" si="28">IF(D$12=0,0,D45/D$12)</f>
        <v>0</v>
      </c>
      <c r="G45" s="1"/>
      <c r="H45" s="1">
        <f>SUM(OSRRefH22_2x_0)</f>
        <v>0</v>
      </c>
      <c r="I45" s="1"/>
      <c r="J45" s="5">
        <f t="shared" ref="J45:J53" si="29">IF(H$12=0,0,H45/H$12)</f>
        <v>0</v>
      </c>
      <c r="K45" s="1"/>
      <c r="L45" s="1">
        <f t="shared" ref="L45:L53" si="30">+D45-H45</f>
        <v>0</v>
      </c>
      <c r="M45" s="1"/>
      <c r="N45" s="5">
        <f t="shared" ref="N45:N53" si="31">IF(H45=0,0,L45/H45)</f>
        <v>0</v>
      </c>
      <c r="O45" s="14"/>
      <c r="P45" s="1">
        <f>SUM(OSRRefP22_2x_0)</f>
        <v>91.22</v>
      </c>
      <c r="Q45" s="1"/>
      <c r="R45" s="5">
        <f t="shared" ref="R45:R53" si="32">IF(P$12=0,0,P45/P$12)</f>
        <v>1.2048800680713651E-3</v>
      </c>
      <c r="S45" s="1"/>
      <c r="T45" s="1">
        <f>SUM(OSRRefT22_2x_0)</f>
        <v>0</v>
      </c>
      <c r="U45" s="1"/>
      <c r="V45" s="5">
        <f t="shared" ref="V45:V53" si="33">IF(T$12=0,0,T45/T$12)</f>
        <v>0</v>
      </c>
      <c r="W45" s="1"/>
      <c r="X45" s="1">
        <f t="shared" ref="X45:X53" si="34">+P45-T45</f>
        <v>91.22</v>
      </c>
      <c r="Y45" s="1"/>
      <c r="Z45" s="5">
        <f t="shared" ref="Z45:Z53" si="35">IF(T45=0,0,X45/T45)</f>
        <v>0</v>
      </c>
    </row>
    <row r="46" spans="1:26" s="24" customFormat="1" hidden="1" outlineLevel="2" x14ac:dyDescent="0.3">
      <c r="A46" s="29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91.22</v>
      </c>
      <c r="Q46" s="2"/>
      <c r="R46" s="7">
        <f t="shared" si="32"/>
        <v>1.2048800680713651E-3</v>
      </c>
      <c r="S46" s="2"/>
      <c r="T46" s="6"/>
      <c r="U46" s="2"/>
      <c r="V46" s="7">
        <f t="shared" si="33"/>
        <v>0</v>
      </c>
      <c r="W46" s="2"/>
      <c r="X46" s="6">
        <f t="shared" si="34"/>
        <v>91.22</v>
      </c>
      <c r="Y46" s="2"/>
      <c r="Z46" s="7">
        <f t="shared" si="35"/>
        <v>0</v>
      </c>
    </row>
    <row r="47" spans="1:26" s="28" customFormat="1" outlineLevel="1" collapsed="1" x14ac:dyDescent="0.3">
      <c r="A47" s="27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19.600000000000001</v>
      </c>
      <c r="E47" s="1"/>
      <c r="F47" s="5">
        <f t="shared" si="28"/>
        <v>1.5796935233371508E-3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19.600000000000001</v>
      </c>
      <c r="M47" s="1"/>
      <c r="N47" s="5">
        <f t="shared" si="31"/>
        <v>0</v>
      </c>
      <c r="O47" s="14"/>
      <c r="P47" s="1">
        <f>SUM(OSRRefP22_3x_0)</f>
        <v>28.84</v>
      </c>
      <c r="Q47" s="1"/>
      <c r="R47" s="5">
        <f t="shared" si="32"/>
        <v>3.8093336070136122E-4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28.84</v>
      </c>
      <c r="Y47" s="1"/>
      <c r="Z47" s="5">
        <f t="shared" si="35"/>
        <v>0</v>
      </c>
    </row>
    <row r="48" spans="1:26" s="24" customFormat="1" hidden="1" outlineLevel="2" x14ac:dyDescent="0.3">
      <c r="A48" s="29"/>
      <c r="B48" s="11" t="str">
        <f>CONCATENATE("          ", "6272", " - ", "CASH (OVER/SHORT)")</f>
        <v xml:space="preserve">          6272 - CASH (OVER/SHORT)</v>
      </c>
      <c r="C48" s="11"/>
      <c r="D48" s="6">
        <v>19.600000000000001</v>
      </c>
      <c r="E48" s="2"/>
      <c r="F48" s="7">
        <f t="shared" si="28"/>
        <v>1.5796935233371508E-3</v>
      </c>
      <c r="G48" s="2"/>
      <c r="H48" s="6">
        <v>0</v>
      </c>
      <c r="I48" s="2"/>
      <c r="J48" s="7">
        <f t="shared" si="29"/>
        <v>0</v>
      </c>
      <c r="K48" s="2"/>
      <c r="L48" s="6">
        <f t="shared" si="30"/>
        <v>19.600000000000001</v>
      </c>
      <c r="M48" s="2"/>
      <c r="N48" s="7">
        <f t="shared" si="31"/>
        <v>0</v>
      </c>
      <c r="O48" s="11"/>
      <c r="P48" s="6">
        <v>28.84</v>
      </c>
      <c r="Q48" s="2"/>
      <c r="R48" s="7">
        <f t="shared" si="32"/>
        <v>3.8093336070136122E-4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28.84</v>
      </c>
      <c r="Y48" s="2"/>
      <c r="Z48" s="7">
        <f t="shared" si="35"/>
        <v>0</v>
      </c>
    </row>
    <row r="49" spans="1:26" s="28" customFormat="1" outlineLevel="1" collapsed="1" x14ac:dyDescent="0.3">
      <c r="A49" s="27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529.78</v>
      </c>
      <c r="E49" s="1"/>
      <c r="F49" s="5">
        <f t="shared" si="28"/>
        <v>4.2698471162936513E-2</v>
      </c>
      <c r="G49" s="1"/>
      <c r="H49" s="1">
        <f>SUM(OSRRefH22_4x_0)</f>
        <v>1139</v>
      </c>
      <c r="I49" s="1"/>
      <c r="J49" s="5">
        <f t="shared" si="29"/>
        <v>7.1063139505864736E-2</v>
      </c>
      <c r="K49" s="1"/>
      <c r="L49" s="1">
        <f t="shared" si="30"/>
        <v>-609.22</v>
      </c>
      <c r="M49" s="1"/>
      <c r="N49" s="5">
        <f t="shared" si="31"/>
        <v>-0.53487269534679549</v>
      </c>
      <c r="O49" s="14"/>
      <c r="P49" s="1">
        <f>SUM(OSRRefP22_4x_0)</f>
        <v>3177.98</v>
      </c>
      <c r="Q49" s="1"/>
      <c r="R49" s="5">
        <f t="shared" si="32"/>
        <v>4.1976373149851309E-2</v>
      </c>
      <c r="S49" s="1"/>
      <c r="T49" s="1">
        <f>SUM(OSRRefT22_4x_0)</f>
        <v>5241</v>
      </c>
      <c r="U49" s="1"/>
      <c r="V49" s="5">
        <f t="shared" si="33"/>
        <v>4.9520012094183455E-2</v>
      </c>
      <c r="W49" s="1"/>
      <c r="X49" s="1">
        <f t="shared" si="34"/>
        <v>-2063.02</v>
      </c>
      <c r="Y49" s="1"/>
      <c r="Z49" s="5">
        <f t="shared" si="35"/>
        <v>-0.39363098645296701</v>
      </c>
    </row>
    <row r="50" spans="1:26" s="24" customFormat="1" hidden="1" outlineLevel="2" x14ac:dyDescent="0.3">
      <c r="A50" s="29"/>
      <c r="B50" s="11" t="str">
        <f>CONCATENATE("          ", "6381", " - ", "BANK/CREDIT CARD FEES")</f>
        <v xml:space="preserve">          6381 - BANK/CREDIT CARD FEES</v>
      </c>
      <c r="C50" s="11"/>
      <c r="D50" s="6">
        <v>529.78</v>
      </c>
      <c r="E50" s="2"/>
      <c r="F50" s="7">
        <f t="shared" si="28"/>
        <v>4.2698471162936513E-2</v>
      </c>
      <c r="G50" s="2"/>
      <c r="H50" s="6">
        <v>1139</v>
      </c>
      <c r="I50" s="2"/>
      <c r="J50" s="7">
        <f t="shared" si="29"/>
        <v>7.1063139505864736E-2</v>
      </c>
      <c r="K50" s="2"/>
      <c r="L50" s="6">
        <f t="shared" si="30"/>
        <v>-609.22</v>
      </c>
      <c r="M50" s="2"/>
      <c r="N50" s="7">
        <f t="shared" si="31"/>
        <v>-0.53487269534679549</v>
      </c>
      <c r="O50" s="11"/>
      <c r="P50" s="6">
        <v>3177.98</v>
      </c>
      <c r="Q50" s="2"/>
      <c r="R50" s="7">
        <f t="shared" si="32"/>
        <v>4.1976373149851309E-2</v>
      </c>
      <c r="S50" s="2"/>
      <c r="T50" s="6">
        <v>5241</v>
      </c>
      <c r="U50" s="2"/>
      <c r="V50" s="7">
        <f t="shared" si="33"/>
        <v>4.9520012094183455E-2</v>
      </c>
      <c r="W50" s="2"/>
      <c r="X50" s="6">
        <f t="shared" si="34"/>
        <v>-2063.02</v>
      </c>
      <c r="Y50" s="2"/>
      <c r="Z50" s="7">
        <f t="shared" si="35"/>
        <v>-0.39363098645296701</v>
      </c>
    </row>
    <row r="51" spans="1:26" s="28" customFormat="1" outlineLevel="1" collapsed="1" x14ac:dyDescent="0.3">
      <c r="A51" s="27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5471.21</v>
      </c>
      <c r="E51" s="1"/>
      <c r="F51" s="5">
        <f t="shared" si="28"/>
        <v>0.4409609694804823</v>
      </c>
      <c r="G51" s="1"/>
      <c r="H51" s="1">
        <f>SUM(OSRRefH22_5x_0)</f>
        <v>5471</v>
      </c>
      <c r="I51" s="1"/>
      <c r="J51" s="5">
        <f t="shared" si="29"/>
        <v>0.34134015472922385</v>
      </c>
      <c r="K51" s="1"/>
      <c r="L51" s="1">
        <f t="shared" si="30"/>
        <v>0.21000000000003638</v>
      </c>
      <c r="M51" s="1"/>
      <c r="N51" s="5">
        <f t="shared" si="31"/>
        <v>3.8384207640291792E-5</v>
      </c>
      <c r="O51" s="14"/>
      <c r="P51" s="1">
        <f>SUM(OSRRefP22_5x_0)</f>
        <v>32827.26</v>
      </c>
      <c r="Q51" s="1"/>
      <c r="R51" s="5">
        <f t="shared" si="32"/>
        <v>0.43359911492431924</v>
      </c>
      <c r="S51" s="1"/>
      <c r="T51" s="1">
        <f>SUM(OSRRefT22_5x_0)</f>
        <v>32826</v>
      </c>
      <c r="U51" s="1"/>
      <c r="V51" s="5">
        <f t="shared" si="33"/>
        <v>0.31015911410106201</v>
      </c>
      <c r="W51" s="1"/>
      <c r="X51" s="1">
        <f t="shared" si="34"/>
        <v>1.2600000000020373</v>
      </c>
      <c r="Y51" s="1"/>
      <c r="Z51" s="5">
        <f t="shared" si="35"/>
        <v>3.8384207640347201E-5</v>
      </c>
    </row>
    <row r="52" spans="1:26" s="24" customFormat="1" hidden="1" outlineLevel="2" x14ac:dyDescent="0.3">
      <c r="A52" s="29"/>
      <c r="B52" s="11" t="str">
        <f>CONCATENATE("          ", "6321", " - ", "BUILDING DEPRECIATION")</f>
        <v xml:space="preserve">          6321 - BUILDING DEPRECIATION</v>
      </c>
      <c r="C52" s="11"/>
      <c r="D52" s="6">
        <v>5080.51</v>
      </c>
      <c r="E52" s="2"/>
      <c r="F52" s="7">
        <f t="shared" si="28"/>
        <v>0.40947187460457285</v>
      </c>
      <c r="G52" s="2"/>
      <c r="H52" s="6"/>
      <c r="I52" s="2"/>
      <c r="J52" s="7">
        <f t="shared" si="29"/>
        <v>0</v>
      </c>
      <c r="K52" s="2"/>
      <c r="L52" s="6">
        <f t="shared" si="30"/>
        <v>5080.51</v>
      </c>
      <c r="M52" s="2"/>
      <c r="N52" s="7">
        <f t="shared" si="31"/>
        <v>0</v>
      </c>
      <c r="O52" s="11"/>
      <c r="P52" s="6">
        <v>30483.06</v>
      </c>
      <c r="Q52" s="2"/>
      <c r="R52" s="7">
        <f t="shared" si="32"/>
        <v>0.40263573128506364</v>
      </c>
      <c r="S52" s="2"/>
      <c r="T52" s="6"/>
      <c r="U52" s="2"/>
      <c r="V52" s="7">
        <f t="shared" si="33"/>
        <v>0</v>
      </c>
      <c r="W52" s="2"/>
      <c r="X52" s="6">
        <f t="shared" si="34"/>
        <v>30483.06</v>
      </c>
      <c r="Y52" s="2"/>
      <c r="Z52" s="7">
        <f t="shared" si="35"/>
        <v>0</v>
      </c>
    </row>
    <row r="53" spans="1:26" s="24" customFormat="1" hidden="1" outlineLevel="2" x14ac:dyDescent="0.3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390.7</v>
      </c>
      <c r="E53" s="2"/>
      <c r="F53" s="7">
        <f t="shared" si="28"/>
        <v>3.1489094875909431E-2</v>
      </c>
      <c r="G53" s="2"/>
      <c r="H53" s="6">
        <v>5471</v>
      </c>
      <c r="I53" s="2"/>
      <c r="J53" s="7">
        <f t="shared" si="29"/>
        <v>0.34134015472922385</v>
      </c>
      <c r="K53" s="2"/>
      <c r="L53" s="6">
        <f t="shared" si="30"/>
        <v>-5080.3</v>
      </c>
      <c r="M53" s="2"/>
      <c r="N53" s="7">
        <f t="shared" si="31"/>
        <v>-0.92858709559495523</v>
      </c>
      <c r="O53" s="11"/>
      <c r="P53" s="6">
        <v>2344.1999999999998</v>
      </c>
      <c r="Q53" s="2"/>
      <c r="R53" s="7">
        <f t="shared" si="32"/>
        <v>3.0963383639255576E-2</v>
      </c>
      <c r="S53" s="2"/>
      <c r="T53" s="6">
        <v>32826</v>
      </c>
      <c r="U53" s="2"/>
      <c r="V53" s="7">
        <f t="shared" si="33"/>
        <v>0.31015911410106201</v>
      </c>
      <c r="W53" s="2"/>
      <c r="X53" s="6">
        <f t="shared" si="34"/>
        <v>-30481.8</v>
      </c>
      <c r="Y53" s="2"/>
      <c r="Z53" s="7">
        <f t="shared" si="35"/>
        <v>-0.92858709559495523</v>
      </c>
    </row>
    <row r="54" spans="1:26" s="28" customFormat="1" outlineLevel="1" collapsed="1" x14ac:dyDescent="0.3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SUM(OSRRefD22_6x_0)</f>
        <v>0</v>
      </c>
      <c r="E54" s="1"/>
      <c r="F54" s="5">
        <f t="shared" ref="F54:F67" si="36">IF(D$12=0,0,D54/D$12)</f>
        <v>0</v>
      </c>
      <c r="G54" s="1"/>
      <c r="H54" s="1">
        <f>SUM(OSRRefH22_6x_0)</f>
        <v>50</v>
      </c>
      <c r="I54" s="1"/>
      <c r="J54" s="5">
        <f t="shared" ref="J54:J67" si="37">IF(H$12=0,0,H54/H$12)</f>
        <v>3.1195408035937112E-3</v>
      </c>
      <c r="K54" s="1"/>
      <c r="L54" s="1">
        <f t="shared" ref="L54:L67" si="38">+D54-H54</f>
        <v>-50</v>
      </c>
      <c r="M54" s="1"/>
      <c r="N54" s="5">
        <f t="shared" ref="N54:N67" si="39">IF(H54=0,0,L54/H54)</f>
        <v>-1</v>
      </c>
      <c r="O54" s="14"/>
      <c r="P54" s="1">
        <f>SUM(OSRRefP22_6x_0)</f>
        <v>0</v>
      </c>
      <c r="Q54" s="1"/>
      <c r="R54" s="5">
        <f t="shared" ref="R54:R67" si="40">IF(P$12=0,0,P54/P$12)</f>
        <v>0</v>
      </c>
      <c r="S54" s="1"/>
      <c r="T54" s="1">
        <f>SUM(OSRRefT22_6x_0)</f>
        <v>50</v>
      </c>
      <c r="U54" s="1"/>
      <c r="V54" s="5">
        <f t="shared" ref="V54:V67" si="41">IF(T$12=0,0,T54/T$12)</f>
        <v>4.7242904115801809E-4</v>
      </c>
      <c r="W54" s="1"/>
      <c r="X54" s="1">
        <f t="shared" ref="X54:X67" si="42">+P54-T54</f>
        <v>-50</v>
      </c>
      <c r="Y54" s="1"/>
      <c r="Z54" s="5">
        <f t="shared" ref="Z54:Z67" si="43">IF(T54=0,0,X54/T54)</f>
        <v>-1</v>
      </c>
    </row>
    <row r="55" spans="1:26" s="24" customFormat="1" hidden="1" outlineLevel="2" x14ac:dyDescent="0.3">
      <c r="A55" s="29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36"/>
        <v>0</v>
      </c>
      <c r="G55" s="2"/>
      <c r="H55" s="6">
        <v>50</v>
      </c>
      <c r="I55" s="2"/>
      <c r="J55" s="7">
        <f t="shared" si="37"/>
        <v>3.1195408035937112E-3</v>
      </c>
      <c r="K55" s="2"/>
      <c r="L55" s="6">
        <f t="shared" si="38"/>
        <v>-50</v>
      </c>
      <c r="M55" s="2"/>
      <c r="N55" s="7">
        <f t="shared" si="39"/>
        <v>-1</v>
      </c>
      <c r="O55" s="11"/>
      <c r="P55" s="6"/>
      <c r="Q55" s="2"/>
      <c r="R55" s="7">
        <f t="shared" si="40"/>
        <v>0</v>
      </c>
      <c r="S55" s="2"/>
      <c r="T55" s="6">
        <v>50</v>
      </c>
      <c r="U55" s="2"/>
      <c r="V55" s="7">
        <f t="shared" si="41"/>
        <v>4.7242904115801809E-4</v>
      </c>
      <c r="W55" s="2"/>
      <c r="X55" s="6">
        <f t="shared" si="42"/>
        <v>-50</v>
      </c>
      <c r="Y55" s="2"/>
      <c r="Z55" s="7">
        <f t="shared" si="43"/>
        <v>-1</v>
      </c>
    </row>
    <row r="56" spans="1:26" s="28" customFormat="1" outlineLevel="1" collapsed="1" x14ac:dyDescent="0.3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SUM(OSRRefD22_7x_0)</f>
        <v>0</v>
      </c>
      <c r="E56" s="1"/>
      <c r="F56" s="5">
        <f t="shared" si="36"/>
        <v>0</v>
      </c>
      <c r="G56" s="1"/>
      <c r="H56" s="1">
        <f>SUM(OSRRefH22_7x_0)</f>
        <v>176</v>
      </c>
      <c r="I56" s="1"/>
      <c r="J56" s="5">
        <f t="shared" si="37"/>
        <v>1.0980783628649862E-2</v>
      </c>
      <c r="K56" s="1"/>
      <c r="L56" s="1">
        <f t="shared" si="38"/>
        <v>-176</v>
      </c>
      <c r="M56" s="1"/>
      <c r="N56" s="5">
        <f t="shared" si="39"/>
        <v>-1</v>
      </c>
      <c r="O56" s="14"/>
      <c r="P56" s="1">
        <f>SUM(OSRRefP22_7x_0)</f>
        <v>0</v>
      </c>
      <c r="Q56" s="1"/>
      <c r="R56" s="5">
        <f t="shared" si="40"/>
        <v>0</v>
      </c>
      <c r="S56" s="1"/>
      <c r="T56" s="1">
        <f>SUM(OSRRefT22_7x_0)</f>
        <v>1056</v>
      </c>
      <c r="U56" s="1"/>
      <c r="V56" s="5">
        <f t="shared" si="41"/>
        <v>9.9777013492573421E-3</v>
      </c>
      <c r="W56" s="1"/>
      <c r="X56" s="1">
        <f t="shared" si="42"/>
        <v>-1056</v>
      </c>
      <c r="Y56" s="1"/>
      <c r="Z56" s="5">
        <f t="shared" si="43"/>
        <v>-1</v>
      </c>
    </row>
    <row r="57" spans="1:26" s="24" customFormat="1" hidden="1" outlineLevel="2" x14ac:dyDescent="0.3">
      <c r="A57" s="29"/>
      <c r="B57" s="11" t="str">
        <f>CONCATENATE("          ", "6351", " - ", "EQUIPMENT RENTAL")</f>
        <v xml:space="preserve">          6351 - EQUIPMENT RENTAL</v>
      </c>
      <c r="C57" s="11"/>
      <c r="D57" s="6"/>
      <c r="E57" s="2"/>
      <c r="F57" s="7">
        <f t="shared" si="36"/>
        <v>0</v>
      </c>
      <c r="G57" s="2"/>
      <c r="H57" s="6">
        <v>176</v>
      </c>
      <c r="I57" s="2"/>
      <c r="J57" s="7">
        <f t="shared" si="37"/>
        <v>1.0980783628649862E-2</v>
      </c>
      <c r="K57" s="2"/>
      <c r="L57" s="6">
        <f t="shared" si="38"/>
        <v>-176</v>
      </c>
      <c r="M57" s="2"/>
      <c r="N57" s="7">
        <f t="shared" si="39"/>
        <v>-1</v>
      </c>
      <c r="O57" s="11"/>
      <c r="P57" s="6"/>
      <c r="Q57" s="2"/>
      <c r="R57" s="7">
        <f t="shared" si="40"/>
        <v>0</v>
      </c>
      <c r="S57" s="2"/>
      <c r="T57" s="6">
        <v>1056</v>
      </c>
      <c r="U57" s="2"/>
      <c r="V57" s="7">
        <f t="shared" si="41"/>
        <v>9.9777013492573421E-3</v>
      </c>
      <c r="W57" s="2"/>
      <c r="X57" s="6">
        <f t="shared" si="42"/>
        <v>-1056</v>
      </c>
      <c r="Y57" s="2"/>
      <c r="Z57" s="7">
        <f t="shared" si="43"/>
        <v>-1</v>
      </c>
    </row>
    <row r="58" spans="1:26" s="28" customFormat="1" outlineLevel="1" collapsed="1" x14ac:dyDescent="0.3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SUM(OSRRefD22_8x_0)</f>
        <v>160</v>
      </c>
      <c r="E58" s="1"/>
      <c r="F58" s="5">
        <f t="shared" si="36"/>
        <v>1.2895457333364497E-2</v>
      </c>
      <c r="G58" s="1"/>
      <c r="H58" s="1">
        <f>SUM(OSRRefH22_8x_0)</f>
        <v>455</v>
      </c>
      <c r="I58" s="1"/>
      <c r="J58" s="5">
        <f t="shared" si="37"/>
        <v>2.8387821312702771E-2</v>
      </c>
      <c r="K58" s="1"/>
      <c r="L58" s="1">
        <f t="shared" si="38"/>
        <v>-295</v>
      </c>
      <c r="M58" s="1"/>
      <c r="N58" s="5">
        <f t="shared" si="39"/>
        <v>-0.64835164835164838</v>
      </c>
      <c r="O58" s="14"/>
      <c r="P58" s="1">
        <f>SUM(OSRRefP22_8x_0)</f>
        <v>1002.45</v>
      </c>
      <c r="Q58" s="1"/>
      <c r="R58" s="5">
        <f t="shared" si="40"/>
        <v>1.3240868496361982E-2</v>
      </c>
      <c r="S58" s="1"/>
      <c r="T58" s="1">
        <f>SUM(OSRRefT22_8x_0)</f>
        <v>455</v>
      </c>
      <c r="U58" s="1"/>
      <c r="V58" s="5">
        <f t="shared" si="41"/>
        <v>4.2991042745379642E-3</v>
      </c>
      <c r="W58" s="1"/>
      <c r="X58" s="1">
        <f t="shared" si="42"/>
        <v>547.45000000000005</v>
      </c>
      <c r="Y58" s="1"/>
      <c r="Z58" s="5">
        <f t="shared" si="43"/>
        <v>1.2031868131868133</v>
      </c>
    </row>
    <row r="59" spans="1:26" s="24" customFormat="1" hidden="1" outlineLevel="2" x14ac:dyDescent="0.3">
      <c r="A59" s="29"/>
      <c r="B59" s="11" t="str">
        <f>CONCATENATE("          ", "6279", " - ", "GENERAL EXPENSE")</f>
        <v xml:space="preserve">          6279 - GENERAL EXPENSE</v>
      </c>
      <c r="C59" s="11"/>
      <c r="D59" s="6">
        <v>160</v>
      </c>
      <c r="E59" s="2"/>
      <c r="F59" s="7">
        <f t="shared" si="36"/>
        <v>1.2895457333364497E-2</v>
      </c>
      <c r="G59" s="2"/>
      <c r="H59" s="6">
        <v>455</v>
      </c>
      <c r="I59" s="2"/>
      <c r="J59" s="7">
        <f t="shared" si="37"/>
        <v>2.8387821312702771E-2</v>
      </c>
      <c r="K59" s="2"/>
      <c r="L59" s="6">
        <f t="shared" si="38"/>
        <v>-295</v>
      </c>
      <c r="M59" s="2"/>
      <c r="N59" s="7">
        <f t="shared" si="39"/>
        <v>-0.64835164835164838</v>
      </c>
      <c r="O59" s="11"/>
      <c r="P59" s="6">
        <v>1002.45</v>
      </c>
      <c r="Q59" s="2"/>
      <c r="R59" s="7">
        <f t="shared" si="40"/>
        <v>1.3240868496361982E-2</v>
      </c>
      <c r="S59" s="2"/>
      <c r="T59" s="6">
        <v>455</v>
      </c>
      <c r="U59" s="2"/>
      <c r="V59" s="7">
        <f t="shared" si="41"/>
        <v>4.2991042745379642E-3</v>
      </c>
      <c r="W59" s="2"/>
      <c r="X59" s="6">
        <f t="shared" si="42"/>
        <v>547.45000000000005</v>
      </c>
      <c r="Y59" s="2"/>
      <c r="Z59" s="7">
        <f t="shared" si="43"/>
        <v>1.2031868131868133</v>
      </c>
    </row>
    <row r="60" spans="1:26" s="28" customFormat="1" outlineLevel="1" collapsed="1" x14ac:dyDescent="0.3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SUM(OSRRefD22_9x_0)</f>
        <v>331.01</v>
      </c>
      <c r="E60" s="1"/>
      <c r="F60" s="5">
        <f t="shared" si="36"/>
        <v>2.6678283324481137E-2</v>
      </c>
      <c r="G60" s="1"/>
      <c r="H60" s="1">
        <f>SUM(OSRRefH22_9x_0)</f>
        <v>330</v>
      </c>
      <c r="I60" s="1"/>
      <c r="J60" s="5">
        <f t="shared" si="37"/>
        <v>2.0588969303718493E-2</v>
      </c>
      <c r="K60" s="1"/>
      <c r="L60" s="1">
        <f t="shared" si="38"/>
        <v>1.0099999999999909</v>
      </c>
      <c r="M60" s="1"/>
      <c r="N60" s="5">
        <f t="shared" si="39"/>
        <v>3.0606060606060332E-3</v>
      </c>
      <c r="O60" s="14"/>
      <c r="P60" s="1">
        <f>SUM(OSRRefP22_9x_0)</f>
        <v>1986.06</v>
      </c>
      <c r="Q60" s="1"/>
      <c r="R60" s="5">
        <f t="shared" si="40"/>
        <v>2.6232888708548729E-2</v>
      </c>
      <c r="S60" s="1"/>
      <c r="T60" s="1">
        <f>SUM(OSRRefT22_9x_0)</f>
        <v>1980</v>
      </c>
      <c r="U60" s="1"/>
      <c r="V60" s="5">
        <f t="shared" si="41"/>
        <v>1.8708190029857515E-2</v>
      </c>
      <c r="W60" s="1"/>
      <c r="X60" s="1">
        <f t="shared" si="42"/>
        <v>6.0599999999999454</v>
      </c>
      <c r="Y60" s="1"/>
      <c r="Z60" s="5">
        <f t="shared" si="43"/>
        <v>3.0606060606060332E-3</v>
      </c>
    </row>
    <row r="61" spans="1:26" s="24" customFormat="1" hidden="1" outlineLevel="2" x14ac:dyDescent="0.3">
      <c r="A61" s="29"/>
      <c r="B61" s="11" t="str">
        <f>CONCATENATE("          ", "6314", " - ", "LIABILITY INSURANCE")</f>
        <v xml:space="preserve">          6314 - LIABILITY INSURANCE</v>
      </c>
      <c r="C61" s="11"/>
      <c r="D61" s="6">
        <v>331.01</v>
      </c>
      <c r="E61" s="2"/>
      <c r="F61" s="7">
        <f t="shared" si="36"/>
        <v>2.6678283324481137E-2</v>
      </c>
      <c r="G61" s="2"/>
      <c r="H61" s="6">
        <v>330</v>
      </c>
      <c r="I61" s="2"/>
      <c r="J61" s="7">
        <f t="shared" si="37"/>
        <v>2.0588969303718493E-2</v>
      </c>
      <c r="K61" s="2"/>
      <c r="L61" s="6">
        <f t="shared" si="38"/>
        <v>1.0099999999999909</v>
      </c>
      <c r="M61" s="2"/>
      <c r="N61" s="7">
        <f t="shared" si="39"/>
        <v>3.0606060606060332E-3</v>
      </c>
      <c r="O61" s="11"/>
      <c r="P61" s="6">
        <v>1986.06</v>
      </c>
      <c r="Q61" s="2"/>
      <c r="R61" s="7">
        <f t="shared" si="40"/>
        <v>2.6232888708548729E-2</v>
      </c>
      <c r="S61" s="2"/>
      <c r="T61" s="6">
        <v>1980</v>
      </c>
      <c r="U61" s="2"/>
      <c r="V61" s="7">
        <f t="shared" si="41"/>
        <v>1.8708190029857515E-2</v>
      </c>
      <c r="W61" s="2"/>
      <c r="X61" s="6">
        <f t="shared" si="42"/>
        <v>6.0599999999999454</v>
      </c>
      <c r="Y61" s="2"/>
      <c r="Z61" s="7">
        <f t="shared" si="43"/>
        <v>3.0606060606060332E-3</v>
      </c>
    </row>
    <row r="62" spans="1:26" s="28" customFormat="1" outlineLevel="1" collapsed="1" x14ac:dyDescent="0.3">
      <c r="A62" s="27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SUM(OSRRefD22_10x_0)</f>
        <v>3905</v>
      </c>
      <c r="E62" s="1"/>
      <c r="F62" s="5">
        <f t="shared" si="36"/>
        <v>0.31472975554242721</v>
      </c>
      <c r="G62" s="1"/>
      <c r="H62" s="1">
        <f>SUM(OSRRefH22_10x_0)</f>
        <v>3905</v>
      </c>
      <c r="I62" s="1"/>
      <c r="J62" s="5">
        <f t="shared" si="37"/>
        <v>0.24363613676066884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SUM(OSRRefP22_10x_0)</f>
        <v>23154</v>
      </c>
      <c r="Q62" s="1"/>
      <c r="R62" s="5">
        <f t="shared" si="40"/>
        <v>0.30582978618860324</v>
      </c>
      <c r="S62" s="1"/>
      <c r="T62" s="1">
        <f>SUM(OSRRefT22_10x_0)</f>
        <v>23430</v>
      </c>
      <c r="U62" s="1"/>
      <c r="V62" s="5">
        <f t="shared" si="41"/>
        <v>0.22138024868664727</v>
      </c>
      <c r="W62" s="1"/>
      <c r="X62" s="1">
        <f t="shared" si="42"/>
        <v>-276</v>
      </c>
      <c r="Y62" s="1"/>
      <c r="Z62" s="5">
        <f t="shared" si="43"/>
        <v>-1.17797695262484E-2</v>
      </c>
    </row>
    <row r="63" spans="1:26" s="24" customFormat="1" hidden="1" outlineLevel="2" x14ac:dyDescent="0.3">
      <c r="A63" s="29"/>
      <c r="B63" s="11" t="str">
        <f>CONCATENATE("          ", "6401", " - ", "INTEREST EXPENSE")</f>
        <v xml:space="preserve">          6401 - INTEREST EXPENSE</v>
      </c>
      <c r="C63" s="11"/>
      <c r="D63" s="6">
        <v>3905</v>
      </c>
      <c r="E63" s="2"/>
      <c r="F63" s="7">
        <f t="shared" si="36"/>
        <v>0.31472975554242721</v>
      </c>
      <c r="G63" s="2"/>
      <c r="H63" s="6">
        <v>3905</v>
      </c>
      <c r="I63" s="2"/>
      <c r="J63" s="7">
        <f t="shared" si="37"/>
        <v>0.24363613676066884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23154</v>
      </c>
      <c r="Q63" s="2"/>
      <c r="R63" s="7">
        <f t="shared" si="40"/>
        <v>0.30582978618860324</v>
      </c>
      <c r="S63" s="2"/>
      <c r="T63" s="6">
        <v>23430</v>
      </c>
      <c r="U63" s="2"/>
      <c r="V63" s="7">
        <f t="shared" si="41"/>
        <v>0.22138024868664727</v>
      </c>
      <c r="W63" s="2"/>
      <c r="X63" s="6">
        <f t="shared" si="42"/>
        <v>-276</v>
      </c>
      <c r="Y63" s="2"/>
      <c r="Z63" s="7">
        <f t="shared" si="43"/>
        <v>-1.17797695262484E-2</v>
      </c>
    </row>
    <row r="64" spans="1:26" s="28" customFormat="1" outlineLevel="1" collapsed="1" x14ac:dyDescent="0.3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SUM(OSRRefD22_11x_0)</f>
        <v>513.55999999999995</v>
      </c>
      <c r="E64" s="1"/>
      <c r="F64" s="5">
        <f t="shared" si="36"/>
        <v>4.1391194175766685E-2</v>
      </c>
      <c r="G64" s="1"/>
      <c r="H64" s="1">
        <f>SUM(OSRRefH22_11x_0)</f>
        <v>100</v>
      </c>
      <c r="I64" s="1"/>
      <c r="J64" s="5">
        <f t="shared" si="37"/>
        <v>6.2390816071874224E-3</v>
      </c>
      <c r="K64" s="1"/>
      <c r="L64" s="1">
        <f t="shared" si="38"/>
        <v>413.55999999999995</v>
      </c>
      <c r="M64" s="1"/>
      <c r="N64" s="5">
        <f t="shared" si="39"/>
        <v>4.1355999999999993</v>
      </c>
      <c r="O64" s="14"/>
      <c r="P64" s="1">
        <f>SUM(OSRRefP22_11x_0)</f>
        <v>2782.59</v>
      </c>
      <c r="Q64" s="1"/>
      <c r="R64" s="5">
        <f t="shared" si="40"/>
        <v>3.6753861309084632E-2</v>
      </c>
      <c r="S64" s="1"/>
      <c r="T64" s="1">
        <f>SUM(OSRRefT22_11x_0)</f>
        <v>5113</v>
      </c>
      <c r="U64" s="1"/>
      <c r="V64" s="5">
        <f t="shared" si="41"/>
        <v>4.8310593748818929E-2</v>
      </c>
      <c r="W64" s="1"/>
      <c r="X64" s="1">
        <f t="shared" si="42"/>
        <v>-2330.41</v>
      </c>
      <c r="Y64" s="1"/>
      <c r="Z64" s="5">
        <f t="shared" si="43"/>
        <v>-0.45578134167807549</v>
      </c>
    </row>
    <row r="65" spans="1:26" s="24" customFormat="1" hidden="1" outlineLevel="2" x14ac:dyDescent="0.3">
      <c r="A65" s="29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/>
      <c r="Q65" s="2"/>
      <c r="R65" s="7">
        <f t="shared" si="40"/>
        <v>0</v>
      </c>
      <c r="S65" s="2"/>
      <c r="T65" s="6">
        <v>2623</v>
      </c>
      <c r="U65" s="2"/>
      <c r="V65" s="7">
        <f t="shared" si="41"/>
        <v>2.4783627499149627E-2</v>
      </c>
      <c r="W65" s="2"/>
      <c r="X65" s="6">
        <f t="shared" si="42"/>
        <v>-2623</v>
      </c>
      <c r="Y65" s="2"/>
      <c r="Z65" s="7">
        <f t="shared" si="43"/>
        <v>-1</v>
      </c>
    </row>
    <row r="66" spans="1:26" s="24" customFormat="1" hidden="1" outlineLevel="2" x14ac:dyDescent="0.3">
      <c r="A66" s="29"/>
      <c r="B66" s="11" t="str">
        <f>CONCATENATE("          ", "6373", " - ", "MAINTENANCE CONTRACTS")</f>
        <v xml:space="preserve">          6373 - MAINTENANCE CONTRACTS</v>
      </c>
      <c r="C66" s="11"/>
      <c r="D66" s="6">
        <v>513.55999999999995</v>
      </c>
      <c r="E66" s="2"/>
      <c r="F66" s="7">
        <f t="shared" si="36"/>
        <v>4.1391194175766685E-2</v>
      </c>
      <c r="G66" s="2"/>
      <c r="H66" s="6"/>
      <c r="I66" s="2"/>
      <c r="J66" s="7">
        <f t="shared" si="37"/>
        <v>0</v>
      </c>
      <c r="K66" s="2"/>
      <c r="L66" s="6">
        <f t="shared" si="38"/>
        <v>513.55999999999995</v>
      </c>
      <c r="M66" s="2"/>
      <c r="N66" s="7">
        <f t="shared" si="39"/>
        <v>0</v>
      </c>
      <c r="O66" s="11"/>
      <c r="P66" s="6">
        <v>621.34</v>
      </c>
      <c r="Q66" s="2"/>
      <c r="R66" s="7">
        <f t="shared" si="40"/>
        <v>8.2069741448746111E-3</v>
      </c>
      <c r="S66" s="2"/>
      <c r="T66" s="6">
        <v>260</v>
      </c>
      <c r="U66" s="2"/>
      <c r="V66" s="7">
        <f t="shared" si="41"/>
        <v>2.4566310140216939E-3</v>
      </c>
      <c r="W66" s="2"/>
      <c r="X66" s="6">
        <f t="shared" si="42"/>
        <v>361.34000000000003</v>
      </c>
      <c r="Y66" s="2"/>
      <c r="Z66" s="7">
        <f t="shared" si="43"/>
        <v>1.3897692307692309</v>
      </c>
    </row>
    <row r="67" spans="1:26" s="24" customFormat="1" hidden="1" outlineLevel="2" x14ac:dyDescent="0.3">
      <c r="A67" s="29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36"/>
        <v>0</v>
      </c>
      <c r="G67" s="2"/>
      <c r="H67" s="6">
        <v>100</v>
      </c>
      <c r="I67" s="2"/>
      <c r="J67" s="7">
        <f t="shared" si="37"/>
        <v>6.2390816071874224E-3</v>
      </c>
      <c r="K67" s="2"/>
      <c r="L67" s="6">
        <f t="shared" si="38"/>
        <v>-100</v>
      </c>
      <c r="M67" s="2"/>
      <c r="N67" s="7">
        <f t="shared" si="39"/>
        <v>-1</v>
      </c>
      <c r="O67" s="11"/>
      <c r="P67" s="6">
        <v>2161.25</v>
      </c>
      <c r="Q67" s="2"/>
      <c r="R67" s="7">
        <f t="shared" si="40"/>
        <v>2.8546887164210017E-2</v>
      </c>
      <c r="S67" s="2"/>
      <c r="T67" s="6">
        <v>2230</v>
      </c>
      <c r="U67" s="2"/>
      <c r="V67" s="7">
        <f t="shared" si="41"/>
        <v>2.1070335235647605E-2</v>
      </c>
      <c r="W67" s="2"/>
      <c r="X67" s="6">
        <f t="shared" si="42"/>
        <v>-68.75</v>
      </c>
      <c r="Y67" s="2"/>
      <c r="Z67" s="7">
        <f t="shared" si="43"/>
        <v>-3.0829596412556053E-2</v>
      </c>
    </row>
    <row r="68" spans="1:26" s="28" customFormat="1" outlineLevel="1" collapsed="1" x14ac:dyDescent="0.3">
      <c r="A68" s="27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SUM(OSRRefD22_12x_0)</f>
        <v>282.56</v>
      </c>
      <c r="E68" s="1"/>
      <c r="F68" s="5">
        <f t="shared" ref="F68:F71" si="44">IF(D$12=0,0,D68/D$12)</f>
        <v>2.27733776507217E-2</v>
      </c>
      <c r="G68" s="1"/>
      <c r="H68" s="1">
        <f>SUM(OSRRefH22_12x_0)</f>
        <v>192</v>
      </c>
      <c r="I68" s="1"/>
      <c r="J68" s="5">
        <f t="shared" ref="J68:J71" si="45">IF(H$12=0,0,H68/H$12)</f>
        <v>1.1979036685799849E-2</v>
      </c>
      <c r="K68" s="1"/>
      <c r="L68" s="1">
        <f t="shared" ref="L68:L71" si="46">+D68-H68</f>
        <v>90.56</v>
      </c>
      <c r="M68" s="1"/>
      <c r="N68" s="5">
        <f t="shared" ref="N68:N71" si="47">IF(H68=0,0,L68/H68)</f>
        <v>0.47166666666666668</v>
      </c>
      <c r="O68" s="14"/>
      <c r="P68" s="1">
        <f>SUM(OSRRefP22_12x_0)</f>
        <v>8665.7199999999993</v>
      </c>
      <c r="Q68" s="1"/>
      <c r="R68" s="5">
        <f t="shared" ref="R68:R71" si="48">IF(P$12=0,0,P68/P$12)</f>
        <v>0.1144612289354022</v>
      </c>
      <c r="S68" s="1"/>
      <c r="T68" s="1">
        <f>SUM(OSRRefT22_12x_0)</f>
        <v>969</v>
      </c>
      <c r="U68" s="1"/>
      <c r="V68" s="5">
        <f t="shared" ref="V68:V71" si="49">IF(T$12=0,0,T68/T$12)</f>
        <v>9.1556748176423904E-3</v>
      </c>
      <c r="W68" s="1"/>
      <c r="X68" s="1">
        <f t="shared" ref="X68:X71" si="50">+P68-T68</f>
        <v>7696.7199999999993</v>
      </c>
      <c r="Y68" s="1"/>
      <c r="Z68" s="5">
        <f t="shared" ref="Z68:Z71" si="51">IF(T68=0,0,X68/T68)</f>
        <v>7.9429514963880283</v>
      </c>
    </row>
    <row r="69" spans="1:26" s="24" customFormat="1" hidden="1" outlineLevel="2" x14ac:dyDescent="0.3">
      <c r="A69" s="29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168.4</v>
      </c>
      <c r="E69" s="2"/>
      <c r="F69" s="7">
        <f t="shared" si="44"/>
        <v>1.3572468843366133E-2</v>
      </c>
      <c r="G69" s="2"/>
      <c r="H69" s="6">
        <v>158</v>
      </c>
      <c r="I69" s="2"/>
      <c r="J69" s="7">
        <f t="shared" si="45"/>
        <v>9.8577489393561271E-3</v>
      </c>
      <c r="K69" s="2"/>
      <c r="L69" s="6">
        <f t="shared" si="46"/>
        <v>10.400000000000006</v>
      </c>
      <c r="M69" s="2"/>
      <c r="N69" s="7">
        <f t="shared" si="47"/>
        <v>6.5822784810126614E-2</v>
      </c>
      <c r="O69" s="11"/>
      <c r="P69" s="6">
        <v>1010.4</v>
      </c>
      <c r="Q69" s="2"/>
      <c r="R69" s="7">
        <f t="shared" si="48"/>
        <v>1.3345876132200254E-2</v>
      </c>
      <c r="S69" s="2"/>
      <c r="T69" s="6">
        <v>790</v>
      </c>
      <c r="U69" s="2"/>
      <c r="V69" s="7">
        <f t="shared" si="49"/>
        <v>7.4643788502966853E-3</v>
      </c>
      <c r="W69" s="2"/>
      <c r="X69" s="6">
        <f t="shared" si="50"/>
        <v>220.39999999999998</v>
      </c>
      <c r="Y69" s="2"/>
      <c r="Z69" s="7">
        <f t="shared" si="51"/>
        <v>0.27898734177215184</v>
      </c>
    </row>
    <row r="70" spans="1:26" s="24" customFormat="1" hidden="1" outlineLevel="2" x14ac:dyDescent="0.3">
      <c r="A70" s="29"/>
      <c r="B70" s="11" t="str">
        <f>CONCATENATE("          ", "6285", " - ", "JANITORIAL SERVICES")</f>
        <v xml:space="preserve">          6285 - JANITORIAL SERVICES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7229.52</v>
      </c>
      <c r="Q70" s="2"/>
      <c r="R70" s="7">
        <f t="shared" si="48"/>
        <v>9.5491170244719314E-2</v>
      </c>
      <c r="S70" s="2"/>
      <c r="T70" s="6"/>
      <c r="U70" s="2"/>
      <c r="V70" s="7">
        <f t="shared" si="49"/>
        <v>0</v>
      </c>
      <c r="W70" s="2"/>
      <c r="X70" s="6">
        <f t="shared" si="50"/>
        <v>7229.52</v>
      </c>
      <c r="Y70" s="2"/>
      <c r="Z70" s="7">
        <f t="shared" si="51"/>
        <v>0</v>
      </c>
    </row>
    <row r="71" spans="1:26" s="24" customFormat="1" hidden="1" outlineLevel="2" x14ac:dyDescent="0.3">
      <c r="A71" s="29"/>
      <c r="B71" s="11" t="str">
        <f>CONCATENATE("          ", "6286", " - ", "LAUNDRY EXPENSE")</f>
        <v xml:space="preserve">          6286 - LAUNDRY EXPENSE</v>
      </c>
      <c r="C71" s="11"/>
      <c r="D71" s="6">
        <v>114.16</v>
      </c>
      <c r="E71" s="2"/>
      <c r="F71" s="7">
        <f t="shared" si="44"/>
        <v>9.2009088073555685E-3</v>
      </c>
      <c r="G71" s="2"/>
      <c r="H71" s="6">
        <v>34</v>
      </c>
      <c r="I71" s="2"/>
      <c r="J71" s="7">
        <f t="shared" si="45"/>
        <v>2.1212877464437236E-3</v>
      </c>
      <c r="K71" s="2"/>
      <c r="L71" s="6">
        <f t="shared" si="46"/>
        <v>80.16</v>
      </c>
      <c r="M71" s="2"/>
      <c r="N71" s="7">
        <f t="shared" si="47"/>
        <v>2.3576470588235292</v>
      </c>
      <c r="O71" s="11"/>
      <c r="P71" s="6">
        <v>425.8</v>
      </c>
      <c r="Q71" s="2"/>
      <c r="R71" s="7">
        <f t="shared" si="48"/>
        <v>5.6241825584826492E-3</v>
      </c>
      <c r="S71" s="2"/>
      <c r="T71" s="6">
        <v>179</v>
      </c>
      <c r="U71" s="2"/>
      <c r="V71" s="7">
        <f t="shared" si="49"/>
        <v>1.6912959673457046E-3</v>
      </c>
      <c r="W71" s="2"/>
      <c r="X71" s="6">
        <f t="shared" si="50"/>
        <v>246.8</v>
      </c>
      <c r="Y71" s="2"/>
      <c r="Z71" s="7">
        <f t="shared" si="51"/>
        <v>1.3787709497206704</v>
      </c>
    </row>
    <row r="72" spans="1:26" s="28" customFormat="1" outlineLevel="1" collapsed="1" x14ac:dyDescent="0.3">
      <c r="A72" s="27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SUM(OSRRefD22_13x_0)</f>
        <v>175.19</v>
      </c>
      <c r="E72" s="1"/>
      <c r="F72" s="5">
        <f t="shared" ref="F72:F77" si="52">IF(D$12=0,0,D72/D$12)</f>
        <v>1.4119719813950788E-2</v>
      </c>
      <c r="G72" s="1"/>
      <c r="H72" s="1">
        <f>SUM(OSRRefH22_13x_0)</f>
        <v>450</v>
      </c>
      <c r="I72" s="1"/>
      <c r="J72" s="5">
        <f t="shared" ref="J72:J77" si="53">IF(H$12=0,0,H72/H$12)</f>
        <v>2.8075867232343399E-2</v>
      </c>
      <c r="K72" s="1"/>
      <c r="L72" s="1">
        <f t="shared" ref="L72:L77" si="54">+D72-H72</f>
        <v>-274.81</v>
      </c>
      <c r="M72" s="1"/>
      <c r="N72" s="5">
        <f t="shared" ref="N72:N77" si="55">IF(H72=0,0,L72/H72)</f>
        <v>-0.61068888888888895</v>
      </c>
      <c r="O72" s="14"/>
      <c r="P72" s="1">
        <f>SUM(OSRRefP22_13x_0)</f>
        <v>1522.1599999999999</v>
      </c>
      <c r="Q72" s="1"/>
      <c r="R72" s="5">
        <f t="shared" ref="R72:R77" si="56">IF(P$12=0,0,P72/P$12)</f>
        <v>2.0105462008501523E-2</v>
      </c>
      <c r="S72" s="1"/>
      <c r="T72" s="1">
        <f>SUM(OSRRefT22_13x_0)</f>
        <v>6150</v>
      </c>
      <c r="U72" s="1"/>
      <c r="V72" s="5">
        <f t="shared" ref="V72:V77" si="57">IF(T$12=0,0,T72/T$12)</f>
        <v>5.8108772062436219E-2</v>
      </c>
      <c r="W72" s="1"/>
      <c r="X72" s="1">
        <f t="shared" ref="X72:X77" si="58">+P72-T72</f>
        <v>-4627.84</v>
      </c>
      <c r="Y72" s="1"/>
      <c r="Z72" s="5">
        <f t="shared" ref="Z72:Z77" si="59">IF(T72=0,0,X72/T72)</f>
        <v>-0.75249430894308944</v>
      </c>
    </row>
    <row r="73" spans="1:26" s="24" customFormat="1" hidden="1" outlineLevel="2" x14ac:dyDescent="0.3">
      <c r="A73" s="29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52"/>
        <v>0</v>
      </c>
      <c r="G73" s="2"/>
      <c r="H73" s="6">
        <v>50</v>
      </c>
      <c r="I73" s="2"/>
      <c r="J73" s="7">
        <f t="shared" si="53"/>
        <v>3.1195408035937112E-3</v>
      </c>
      <c r="K73" s="2"/>
      <c r="L73" s="6">
        <f t="shared" si="54"/>
        <v>-50</v>
      </c>
      <c r="M73" s="2"/>
      <c r="N73" s="7">
        <f t="shared" si="55"/>
        <v>-1</v>
      </c>
      <c r="O73" s="11"/>
      <c r="P73" s="6"/>
      <c r="Q73" s="2"/>
      <c r="R73" s="7">
        <f t="shared" si="56"/>
        <v>0</v>
      </c>
      <c r="S73" s="2"/>
      <c r="T73" s="6">
        <v>400</v>
      </c>
      <c r="U73" s="2"/>
      <c r="V73" s="7">
        <f t="shared" si="57"/>
        <v>3.7794323292641447E-3</v>
      </c>
      <c r="W73" s="2"/>
      <c r="X73" s="6">
        <f t="shared" si="58"/>
        <v>-400</v>
      </c>
      <c r="Y73" s="2"/>
      <c r="Z73" s="7">
        <f t="shared" si="59"/>
        <v>-1</v>
      </c>
    </row>
    <row r="74" spans="1:26" s="24" customFormat="1" hidden="1" outlineLevel="2" x14ac:dyDescent="0.3">
      <c r="A74" s="29"/>
      <c r="B74" s="11" t="str">
        <f>CONCATENATE("          ", "6237", " - ", "JANITORIAL SUPPLIES")</f>
        <v xml:space="preserve">          6237 - JANITORIAL SUPPLIES</v>
      </c>
      <c r="C74" s="11"/>
      <c r="D74" s="6">
        <v>76.540000000000006</v>
      </c>
      <c r="E74" s="2"/>
      <c r="F74" s="7">
        <f t="shared" si="52"/>
        <v>6.1688644018482418E-3</v>
      </c>
      <c r="G74" s="2"/>
      <c r="H74" s="6">
        <v>0</v>
      </c>
      <c r="I74" s="2"/>
      <c r="J74" s="7">
        <f t="shared" si="53"/>
        <v>0</v>
      </c>
      <c r="K74" s="2"/>
      <c r="L74" s="6">
        <f t="shared" si="54"/>
        <v>76.540000000000006</v>
      </c>
      <c r="M74" s="2"/>
      <c r="N74" s="7">
        <f t="shared" si="55"/>
        <v>0</v>
      </c>
      <c r="O74" s="11"/>
      <c r="P74" s="6">
        <v>565.38</v>
      </c>
      <c r="Q74" s="2"/>
      <c r="R74" s="7">
        <f t="shared" si="56"/>
        <v>7.4678260566343824E-3</v>
      </c>
      <c r="S74" s="2"/>
      <c r="T74" s="6">
        <v>100</v>
      </c>
      <c r="U74" s="2"/>
      <c r="V74" s="7">
        <f t="shared" si="57"/>
        <v>9.4485808231603617E-4</v>
      </c>
      <c r="W74" s="2"/>
      <c r="X74" s="6">
        <f t="shared" si="58"/>
        <v>465.38</v>
      </c>
      <c r="Y74" s="2"/>
      <c r="Z74" s="7">
        <f t="shared" si="59"/>
        <v>4.6538000000000004</v>
      </c>
    </row>
    <row r="75" spans="1:26" s="24" customFormat="1" hidden="1" outlineLevel="2" x14ac:dyDescent="0.3">
      <c r="A75" s="29"/>
      <c r="B75" s="11" t="str">
        <f>CONCATENATE("          ", "6241", " - ", "OFFICE EXPENSE")</f>
        <v xml:space="preserve">          6241 - OFFICE EXPENSE</v>
      </c>
      <c r="C75" s="11"/>
      <c r="D75" s="6">
        <v>32.31</v>
      </c>
      <c r="E75" s="2"/>
      <c r="F75" s="7">
        <f t="shared" si="52"/>
        <v>2.6040764152562932E-3</v>
      </c>
      <c r="G75" s="2"/>
      <c r="H75" s="6"/>
      <c r="I75" s="2"/>
      <c r="J75" s="7">
        <f t="shared" si="53"/>
        <v>0</v>
      </c>
      <c r="K75" s="2"/>
      <c r="L75" s="6">
        <f t="shared" si="54"/>
        <v>32.31</v>
      </c>
      <c r="M75" s="2"/>
      <c r="N75" s="7">
        <f t="shared" si="55"/>
        <v>0</v>
      </c>
      <c r="O75" s="11"/>
      <c r="P75" s="6">
        <v>205.29</v>
      </c>
      <c r="Q75" s="2"/>
      <c r="R75" s="7">
        <f t="shared" si="56"/>
        <v>2.7115745360049388E-3</v>
      </c>
      <c r="S75" s="2"/>
      <c r="T75" s="6"/>
      <c r="U75" s="2"/>
      <c r="V75" s="7">
        <f t="shared" si="57"/>
        <v>0</v>
      </c>
      <c r="W75" s="2"/>
      <c r="X75" s="6">
        <f t="shared" si="58"/>
        <v>205.29</v>
      </c>
      <c r="Y75" s="2"/>
      <c r="Z75" s="7">
        <f t="shared" si="59"/>
        <v>0</v>
      </c>
    </row>
    <row r="76" spans="1:26" s="24" customFormat="1" hidden="1" outlineLevel="2" x14ac:dyDescent="0.3">
      <c r="A76" s="29"/>
      <c r="B76" s="11" t="str">
        <f>CONCATENATE("          ", "6243", " - ", "PAPER SUPPLIES")</f>
        <v xml:space="preserve">          6243 - PAPER SUPPLIES</v>
      </c>
      <c r="C76" s="11"/>
      <c r="D76" s="6"/>
      <c r="E76" s="2"/>
      <c r="F76" s="7">
        <f t="shared" si="52"/>
        <v>0</v>
      </c>
      <c r="G76" s="2"/>
      <c r="H76" s="6">
        <v>200</v>
      </c>
      <c r="I76" s="2"/>
      <c r="J76" s="7">
        <f t="shared" si="53"/>
        <v>1.2478163214374845E-2</v>
      </c>
      <c r="K76" s="2"/>
      <c r="L76" s="6">
        <f t="shared" si="54"/>
        <v>-200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1000</v>
      </c>
      <c r="U76" s="2"/>
      <c r="V76" s="7">
        <f t="shared" si="57"/>
        <v>9.4485808231603609E-3</v>
      </c>
      <c r="W76" s="2"/>
      <c r="X76" s="6">
        <f t="shared" si="58"/>
        <v>-1000</v>
      </c>
      <c r="Y76" s="2"/>
      <c r="Z76" s="7">
        <f t="shared" si="59"/>
        <v>-1</v>
      </c>
    </row>
    <row r="77" spans="1:26" s="24" customFormat="1" hidden="1" outlineLevel="2" x14ac:dyDescent="0.3">
      <c r="A77" s="29"/>
      <c r="B77" s="11" t="str">
        <f>CONCATENATE("          ", "6247", " - ", "STORE SUPPLIES")</f>
        <v xml:space="preserve">          6247 - STORE SUPPLIES</v>
      </c>
      <c r="C77" s="11"/>
      <c r="D77" s="6">
        <v>66.34</v>
      </c>
      <c r="E77" s="2"/>
      <c r="F77" s="7">
        <f t="shared" si="52"/>
        <v>5.3467789968462548E-3</v>
      </c>
      <c r="G77" s="2"/>
      <c r="H77" s="6">
        <v>200</v>
      </c>
      <c r="I77" s="2"/>
      <c r="J77" s="7">
        <f t="shared" si="53"/>
        <v>1.2478163214374845E-2</v>
      </c>
      <c r="K77" s="2"/>
      <c r="L77" s="6">
        <f t="shared" si="54"/>
        <v>-133.66</v>
      </c>
      <c r="M77" s="2"/>
      <c r="N77" s="7">
        <f t="shared" si="55"/>
        <v>-0.66830000000000001</v>
      </c>
      <c r="O77" s="11"/>
      <c r="P77" s="6">
        <v>751.49</v>
      </c>
      <c r="Q77" s="2"/>
      <c r="R77" s="7">
        <f t="shared" si="56"/>
        <v>9.9260614158622022E-3</v>
      </c>
      <c r="S77" s="2"/>
      <c r="T77" s="6">
        <v>4650</v>
      </c>
      <c r="U77" s="2"/>
      <c r="V77" s="7">
        <f t="shared" si="57"/>
        <v>4.3935900827695683E-2</v>
      </c>
      <c r="W77" s="2"/>
      <c r="X77" s="6">
        <f t="shared" si="58"/>
        <v>-3898.51</v>
      </c>
      <c r="Y77" s="2"/>
      <c r="Z77" s="7">
        <f t="shared" si="59"/>
        <v>-0.83838924731182796</v>
      </c>
    </row>
    <row r="78" spans="1:26" s="28" customFormat="1" outlineLevel="1" collapsed="1" x14ac:dyDescent="0.3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SUM(OSRRefD22_14x_0)</f>
        <v>22</v>
      </c>
      <c r="E78" s="1"/>
      <c r="F78" s="5">
        <f t="shared" ref="F78:F80" si="60">IF(D$12=0,0,D78/D$12)</f>
        <v>1.7731253833376181E-3</v>
      </c>
      <c r="G78" s="1"/>
      <c r="H78" s="1">
        <f>SUM(OSRRefH22_14x_0)</f>
        <v>125</v>
      </c>
      <c r="I78" s="1"/>
      <c r="J78" s="5">
        <f t="shared" ref="J78:J80" si="61">IF(H$12=0,0,H78/H$12)</f>
        <v>7.7988520089842779E-3</v>
      </c>
      <c r="K78" s="1"/>
      <c r="L78" s="1">
        <f t="shared" ref="L78:L80" si="62">+D78-H78</f>
        <v>-103</v>
      </c>
      <c r="M78" s="1"/>
      <c r="N78" s="5">
        <f t="shared" ref="N78:N80" si="63">IF(H78=0,0,L78/H78)</f>
        <v>-0.82399999999999995</v>
      </c>
      <c r="O78" s="14"/>
      <c r="P78" s="1">
        <f>SUM(OSRRefP22_14x_0)</f>
        <v>239</v>
      </c>
      <c r="Q78" s="1"/>
      <c r="R78" s="5">
        <f t="shared" ref="R78:R80" si="64">IF(P$12=0,0,P78/P$12)</f>
        <v>3.156833328974526E-3</v>
      </c>
      <c r="S78" s="1"/>
      <c r="T78" s="1">
        <f>SUM(OSRRefT22_14x_0)</f>
        <v>750</v>
      </c>
      <c r="U78" s="1"/>
      <c r="V78" s="5">
        <f t="shared" ref="V78:V80" si="65">IF(T$12=0,0,T78/T$12)</f>
        <v>7.0864356173702707E-3</v>
      </c>
      <c r="W78" s="1"/>
      <c r="X78" s="1">
        <f t="shared" ref="X78:X80" si="66">+P78-T78</f>
        <v>-511</v>
      </c>
      <c r="Y78" s="1"/>
      <c r="Z78" s="5">
        <f t="shared" ref="Z78:Z80" si="67">IF(T78=0,0,X78/T78)</f>
        <v>-0.68133333333333335</v>
      </c>
    </row>
    <row r="79" spans="1:26" s="24" customFormat="1" hidden="1" outlineLevel="2" x14ac:dyDescent="0.3">
      <c r="A79" s="29"/>
      <c r="B79" s="11" t="str">
        <f>CONCATENATE("          ", "6303", " - ", "DATA PHONE LINES")</f>
        <v xml:space="preserve">          6303 - DATA PHONE LINES</v>
      </c>
      <c r="C79" s="11"/>
      <c r="D79" s="6"/>
      <c r="E79" s="2"/>
      <c r="F79" s="7">
        <f t="shared" si="60"/>
        <v>0</v>
      </c>
      <c r="G79" s="2"/>
      <c r="H79" s="6">
        <v>50</v>
      </c>
      <c r="I79" s="2"/>
      <c r="J79" s="7">
        <f t="shared" si="61"/>
        <v>3.1195408035937112E-3</v>
      </c>
      <c r="K79" s="2"/>
      <c r="L79" s="6">
        <f t="shared" si="62"/>
        <v>-50</v>
      </c>
      <c r="M79" s="2"/>
      <c r="N79" s="7">
        <f t="shared" si="63"/>
        <v>-1</v>
      </c>
      <c r="O79" s="11"/>
      <c r="P79" s="6"/>
      <c r="Q79" s="2"/>
      <c r="R79" s="7">
        <f t="shared" si="64"/>
        <v>0</v>
      </c>
      <c r="S79" s="2"/>
      <c r="T79" s="6">
        <v>300</v>
      </c>
      <c r="U79" s="2"/>
      <c r="V79" s="7">
        <f t="shared" si="65"/>
        <v>2.8345742469481085E-3</v>
      </c>
      <c r="W79" s="2"/>
      <c r="X79" s="6">
        <f t="shared" si="66"/>
        <v>-300</v>
      </c>
      <c r="Y79" s="2"/>
      <c r="Z79" s="7">
        <f t="shared" si="67"/>
        <v>-1</v>
      </c>
    </row>
    <row r="80" spans="1:26" s="24" customFormat="1" hidden="1" outlineLevel="2" x14ac:dyDescent="0.3">
      <c r="A80" s="29"/>
      <c r="B80" s="11" t="str">
        <f>CONCATENATE("          ", "6309", " - ", "TELEPHONE")</f>
        <v xml:space="preserve">          6309 - TELEPHONE</v>
      </c>
      <c r="C80" s="11"/>
      <c r="D80" s="6">
        <v>22</v>
      </c>
      <c r="E80" s="2"/>
      <c r="F80" s="7">
        <f t="shared" si="60"/>
        <v>1.7731253833376181E-3</v>
      </c>
      <c r="G80" s="2"/>
      <c r="H80" s="6">
        <v>75</v>
      </c>
      <c r="I80" s="2"/>
      <c r="J80" s="7">
        <f t="shared" si="61"/>
        <v>4.6793112053905668E-3</v>
      </c>
      <c r="K80" s="2"/>
      <c r="L80" s="6">
        <f t="shared" si="62"/>
        <v>-53</v>
      </c>
      <c r="M80" s="2"/>
      <c r="N80" s="7">
        <f t="shared" si="63"/>
        <v>-0.70666666666666667</v>
      </c>
      <c r="O80" s="11"/>
      <c r="P80" s="6">
        <v>239</v>
      </c>
      <c r="Q80" s="2"/>
      <c r="R80" s="7">
        <f t="shared" si="64"/>
        <v>3.156833328974526E-3</v>
      </c>
      <c r="S80" s="2"/>
      <c r="T80" s="6">
        <v>450</v>
      </c>
      <c r="U80" s="2"/>
      <c r="V80" s="7">
        <f t="shared" si="65"/>
        <v>4.2518613704221626E-3</v>
      </c>
      <c r="W80" s="2"/>
      <c r="X80" s="6">
        <f t="shared" si="66"/>
        <v>-211</v>
      </c>
      <c r="Y80" s="2"/>
      <c r="Z80" s="7">
        <f t="shared" si="67"/>
        <v>-0.46888888888888891</v>
      </c>
    </row>
    <row r="81" spans="1:26" s="28" customFormat="1" outlineLevel="1" collapsed="1" x14ac:dyDescent="0.3">
      <c r="A81" s="27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SUM(OSRRefD22_15x_0)</f>
        <v>100</v>
      </c>
      <c r="E81" s="1"/>
      <c r="F81" s="5">
        <f t="shared" ref="F81:F82" si="68">IF(D$12=0,0,D81/D$12)</f>
        <v>8.0596608333528101E-3</v>
      </c>
      <c r="G81" s="1"/>
      <c r="H81" s="1">
        <f>SUM(OSRRefH22_15x_0)</f>
        <v>0</v>
      </c>
      <c r="I81" s="1"/>
      <c r="J81" s="5">
        <f t="shared" ref="J81:J82" si="69">IF(H$12=0,0,H81/H$12)</f>
        <v>0</v>
      </c>
      <c r="K81" s="1"/>
      <c r="L81" s="1">
        <f t="shared" ref="L81:L82" si="70">+D81-H81</f>
        <v>100</v>
      </c>
      <c r="M81" s="1"/>
      <c r="N81" s="5">
        <f t="shared" ref="N81:N82" si="71">IF(H81=0,0,L81/H81)</f>
        <v>0</v>
      </c>
      <c r="O81" s="14"/>
      <c r="P81" s="1">
        <f>SUM(OSRRefP22_15x_0)</f>
        <v>600</v>
      </c>
      <c r="Q81" s="1"/>
      <c r="R81" s="5">
        <f t="shared" ref="R81:R82" si="72">IF(P$12=0,0,P81/P$12)</f>
        <v>7.9251045915678473E-3</v>
      </c>
      <c r="S81" s="1"/>
      <c r="T81" s="1">
        <f>SUM(OSRRefT22_15x_0)</f>
        <v>0</v>
      </c>
      <c r="U81" s="1"/>
      <c r="V81" s="5">
        <f t="shared" ref="V81:V82" si="73">IF(T$12=0,0,T81/T$12)</f>
        <v>0</v>
      </c>
      <c r="W81" s="1"/>
      <c r="X81" s="1">
        <f t="shared" ref="X81:X82" si="74">+P81-T81</f>
        <v>600</v>
      </c>
      <c r="Y81" s="1"/>
      <c r="Z81" s="5">
        <f t="shared" ref="Z81:Z82" si="75">IF(T81=0,0,X81/T81)</f>
        <v>0</v>
      </c>
    </row>
    <row r="82" spans="1:26" s="24" customFormat="1" hidden="1" outlineLevel="2" x14ac:dyDescent="0.3">
      <c r="A82" s="29"/>
      <c r="B82" s="11" t="str">
        <f>CONCATENATE("          ", "6274", " - ", "UTILITIES")</f>
        <v xml:space="preserve">          6274 - UTILITIES</v>
      </c>
      <c r="C82" s="11"/>
      <c r="D82" s="6">
        <v>100</v>
      </c>
      <c r="E82" s="2"/>
      <c r="F82" s="7">
        <f t="shared" si="68"/>
        <v>8.0596608333528101E-3</v>
      </c>
      <c r="G82" s="2"/>
      <c r="H82" s="6">
        <v>0</v>
      </c>
      <c r="I82" s="2"/>
      <c r="J82" s="7">
        <f t="shared" si="69"/>
        <v>0</v>
      </c>
      <c r="K82" s="2"/>
      <c r="L82" s="6">
        <f t="shared" si="70"/>
        <v>100</v>
      </c>
      <c r="M82" s="2"/>
      <c r="N82" s="7">
        <f t="shared" si="71"/>
        <v>0</v>
      </c>
      <c r="O82" s="11"/>
      <c r="P82" s="6">
        <v>600</v>
      </c>
      <c r="Q82" s="2"/>
      <c r="R82" s="7">
        <f t="shared" si="72"/>
        <v>7.9251045915678473E-3</v>
      </c>
      <c r="S82" s="2"/>
      <c r="T82" s="6">
        <v>0</v>
      </c>
      <c r="U82" s="2"/>
      <c r="V82" s="7">
        <f t="shared" si="73"/>
        <v>0</v>
      </c>
      <c r="W82" s="2"/>
      <c r="X82" s="6">
        <f t="shared" si="74"/>
        <v>600</v>
      </c>
      <c r="Y82" s="2"/>
      <c r="Z82" s="7">
        <f t="shared" si="75"/>
        <v>0</v>
      </c>
    </row>
    <row r="83" spans="1:26" s="55" customFormat="1" x14ac:dyDescent="0.3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">
      <c r="A84" s="10"/>
      <c r="B84" s="25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10"/>
      <c r="B86" s="26" t="s">
        <v>277</v>
      </c>
      <c r="C86" s="26"/>
      <c r="D86" s="20">
        <f>+D21-D23+D84</f>
        <v>-11058.66</v>
      </c>
      <c r="E86" s="13"/>
      <c r="F86" s="22">
        <f>IF(D$12=0,0,D86/D$12)</f>
        <v>-0.89129048871365391</v>
      </c>
      <c r="G86" s="13"/>
      <c r="H86" s="20">
        <f>+H21-H23+H84</f>
        <v>-18602.282512307691</v>
      </c>
      <c r="I86" s="13"/>
      <c r="J86" s="22">
        <f>IF(H$12=0,0,H86/H$12)</f>
        <v>-1.1606115867424314</v>
      </c>
      <c r="K86" s="16"/>
      <c r="L86" s="20">
        <f>+D86-H86</f>
        <v>7543.6225123076911</v>
      </c>
      <c r="M86" s="16"/>
      <c r="N86" s="22">
        <f>IF(H86=0,0,L86/H86)</f>
        <v>-0.40552133897099241</v>
      </c>
      <c r="O86" s="25"/>
      <c r="P86" s="20">
        <f>+P21-P23+P84</f>
        <v>-61700.619999999995</v>
      </c>
      <c r="Q86" s="13"/>
      <c r="R86" s="22">
        <f>IF(P$12=0,0,P86/P$12)</f>
        <v>-0.81497311144097151</v>
      </c>
      <c r="S86" s="13"/>
      <c r="T86" s="20">
        <f>+T21-T23+T84</f>
        <v>-109391.03598000002</v>
      </c>
      <c r="U86" s="13"/>
      <c r="V86" s="22">
        <f>IF(T$12=0,0,T86/T$12)</f>
        <v>-1.0335900447862731</v>
      </c>
      <c r="W86" s="16"/>
      <c r="X86" s="20">
        <f>+P86-T86</f>
        <v>47690.41598000002</v>
      </c>
      <c r="Y86" s="16"/>
      <c r="Z86" s="22">
        <f>IF(T86=0,0,X86/T86)</f>
        <v>-0.43596274185317402</v>
      </c>
    </row>
    <row r="87" spans="1:26" x14ac:dyDescent="0.3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52"/>
      <c r="B88" s="10" t="s">
        <v>128</v>
      </c>
      <c r="C88" s="10"/>
      <c r="D88" s="4">
        <v>1573.2</v>
      </c>
      <c r="E88" s="4"/>
      <c r="F88" s="12">
        <f>IF(D$12=0,0,D88/D$12)</f>
        <v>0.1267945842303064</v>
      </c>
      <c r="G88" s="4"/>
      <c r="H88" s="4">
        <v>2476</v>
      </c>
      <c r="I88" s="4"/>
      <c r="J88" s="12">
        <f>IF(H$12=0,0,H88/H$12)</f>
        <v>0.15447966059396057</v>
      </c>
      <c r="K88" s="4"/>
      <c r="L88" s="4">
        <f>+D88-H88</f>
        <v>-902.8</v>
      </c>
      <c r="M88" s="4"/>
      <c r="N88" s="12">
        <f>IF(H88=0,0,L88/H88)</f>
        <v>-0.36462035541195476</v>
      </c>
      <c r="O88" s="10"/>
      <c r="P88" s="4">
        <v>9113.1299999999992</v>
      </c>
      <c r="Q88" s="4"/>
      <c r="R88" s="12">
        <f>IF(P$12=0,0,P88/P$12)</f>
        <v>0.12037084734425782</v>
      </c>
      <c r="S88" s="4"/>
      <c r="T88" s="4">
        <v>13703</v>
      </c>
      <c r="U88" s="4"/>
      <c r="V88" s="12">
        <f>IF(T$12=0,0,T88/T$12)</f>
        <v>0.12947390301976644</v>
      </c>
      <c r="W88" s="4"/>
      <c r="X88" s="4">
        <f>+P88-T88</f>
        <v>-4589.8700000000008</v>
      </c>
      <c r="Y88" s="4"/>
      <c r="Z88" s="12">
        <f>IF(T88=0,0,X88/T88)</f>
        <v>-0.33495365978252944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6" t="s">
        <v>126</v>
      </c>
      <c r="C90" s="26"/>
      <c r="D90" s="31">
        <f>+D86-D88</f>
        <v>-12631.86</v>
      </c>
      <c r="E90" s="13"/>
      <c r="F90" s="30">
        <f>IF(D$12=0,0,D90/D$12)</f>
        <v>-1.0180850729439603</v>
      </c>
      <c r="G90" s="13"/>
      <c r="H90" s="31">
        <f>+H86-H88</f>
        <v>-21078.282512307691</v>
      </c>
      <c r="I90" s="13"/>
      <c r="J90" s="30">
        <f>IF(H$12=0,0,H90/H$12)</f>
        <v>-1.315091247336392</v>
      </c>
      <c r="K90" s="16"/>
      <c r="L90" s="31">
        <f>D90-H90</f>
        <v>8446.4225123076903</v>
      </c>
      <c r="M90" s="16"/>
      <c r="N90" s="30">
        <f>IF(H90=0,0,L90/H90)</f>
        <v>-0.40071682820342652</v>
      </c>
      <c r="O90" s="25"/>
      <c r="P90" s="31">
        <f>+P86-P88</f>
        <v>-70813.75</v>
      </c>
      <c r="Q90" s="13"/>
      <c r="R90" s="30">
        <f>IF(P$12=0,0,P90/P$12)</f>
        <v>-0.93534395878522947</v>
      </c>
      <c r="S90" s="13"/>
      <c r="T90" s="31">
        <f>+T86-T88</f>
        <v>-123094.03598000002</v>
      </c>
      <c r="U90" s="13"/>
      <c r="V90" s="30">
        <f>IF(T$12=0,0,T90/T$12)</f>
        <v>-1.1630639478060396</v>
      </c>
      <c r="W90" s="16"/>
      <c r="X90" s="31">
        <f>P90-T90</f>
        <v>52280.285980000015</v>
      </c>
      <c r="Y90" s="16"/>
      <c r="Z90" s="30">
        <f>IF(T90=0,0,X90/T90)</f>
        <v>-0.4247182697664928</v>
      </c>
    </row>
    <row r="91" spans="1:26" ht="15" thickTop="1" x14ac:dyDescent="0.3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294</v>
      </c>
      <c r="C93" s="26"/>
      <c r="D93" s="35">
        <f>SUM(D90:D92)</f>
        <v>-12631.86</v>
      </c>
      <c r="E93" s="13"/>
      <c r="F93" s="34">
        <f>IF(D$12=0,0,D93/D$12)</f>
        <v>-1.0180850729439603</v>
      </c>
      <c r="G93" s="13"/>
      <c r="H93" s="35">
        <f>SUM(H90:H92)</f>
        <v>-21078.282512307691</v>
      </c>
      <c r="I93" s="13"/>
      <c r="J93" s="34">
        <f>IF(H$12=0,0,H93/H$12)</f>
        <v>-1.315091247336392</v>
      </c>
      <c r="K93" s="16"/>
      <c r="L93" s="35">
        <f>+D93-H93</f>
        <v>8446.4225123076903</v>
      </c>
      <c r="M93" s="16"/>
      <c r="N93" s="34">
        <f>IF(H93=0,0,L93/H93)</f>
        <v>-0.40071682820342652</v>
      </c>
      <c r="O93" s="25"/>
      <c r="P93" s="35">
        <f>SUM(P90:P92)</f>
        <v>-70813.75</v>
      </c>
      <c r="Q93" s="13"/>
      <c r="R93" s="34">
        <f>IF(P$12=0,0,P93/P$12)</f>
        <v>-0.93534395878522947</v>
      </c>
      <c r="S93" s="13"/>
      <c r="T93" s="35">
        <f>SUM(T90:T92)</f>
        <v>-123094.03598000002</v>
      </c>
      <c r="U93" s="13"/>
      <c r="V93" s="34">
        <f>IF(T$12=0,0,T93/T$12)</f>
        <v>-1.1630639478060396</v>
      </c>
      <c r="W93" s="16"/>
      <c r="X93" s="35">
        <f>+P93-T93</f>
        <v>52280.285980000015</v>
      </c>
      <c r="Y93" s="16"/>
      <c r="Z93" s="34">
        <f>IF(T93=0,0,X93/T93)</f>
        <v>-0.4247182697664928</v>
      </c>
    </row>
    <row r="94" spans="1:26" ht="15" thickTop="1" x14ac:dyDescent="0.3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61">
        <v>44575.842125659721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62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3">
      <c r="A97" s="9"/>
      <c r="B97" s="53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","326", " - ", "2nd Street Store")</f>
        <v>Department 326 - 2nd Street 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57501.1</v>
      </c>
      <c r="E12" s="4"/>
      <c r="F12" s="12"/>
      <c r="G12" s="4"/>
      <c r="H12" s="4">
        <f>SUM(OSRRefH13x_0)</f>
        <v>44474</v>
      </c>
      <c r="I12" s="4"/>
      <c r="J12" s="12"/>
      <c r="K12" s="4"/>
      <c r="L12" s="4">
        <f t="shared" ref="L12:L16" si="0">+D12-H12</f>
        <v>13027.099999999999</v>
      </c>
      <c r="M12" s="4"/>
      <c r="N12" s="12">
        <f t="shared" ref="N12:N16" si="1">IF(H12=0,0,L12/H12)</f>
        <v>0.29291496155056884</v>
      </c>
      <c r="O12" s="10"/>
      <c r="P12" s="4">
        <f>SUM(OSRRefP13x_0)</f>
        <v>204714.58</v>
      </c>
      <c r="Q12" s="4"/>
      <c r="R12" s="12"/>
      <c r="S12" s="4"/>
      <c r="T12" s="4">
        <f>SUM(OSRRefT13x_0)</f>
        <v>168519</v>
      </c>
      <c r="U12" s="4"/>
      <c r="V12" s="12"/>
      <c r="W12" s="4"/>
      <c r="X12" s="4">
        <f t="shared" ref="X12:X16" si="2">+P12-T12</f>
        <v>36195.579999999987</v>
      </c>
      <c r="Y12" s="4"/>
      <c r="Z12" s="12">
        <f t="shared" ref="Z12:Z16" si="3">IF(T12=0,0,X12/T12)</f>
        <v>0.21478634456648799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--63783.79</f>
        <v>63783.79</v>
      </c>
      <c r="E13" s="2"/>
      <c r="F13" s="19"/>
      <c r="G13" s="2"/>
      <c r="H13" s="2">
        <v>44474</v>
      </c>
      <c r="I13" s="2"/>
      <c r="J13" s="19"/>
      <c r="K13" s="2"/>
      <c r="L13" s="2">
        <f t="shared" si="0"/>
        <v>19309.79</v>
      </c>
      <c r="M13" s="2"/>
      <c r="N13" s="19">
        <f t="shared" si="1"/>
        <v>0.43418154427305844</v>
      </c>
      <c r="O13" s="11"/>
      <c r="P13" s="2">
        <f>--216024.67</f>
        <v>216024.67</v>
      </c>
      <c r="Q13" s="2"/>
      <c r="R13" s="19"/>
      <c r="S13" s="2"/>
      <c r="T13" s="2">
        <v>168519</v>
      </c>
      <c r="U13" s="2"/>
      <c r="V13" s="19"/>
      <c r="W13" s="2"/>
      <c r="X13" s="2">
        <f t="shared" si="2"/>
        <v>47505.670000000013</v>
      </c>
      <c r="Y13" s="2"/>
      <c r="Z13" s="19">
        <f t="shared" si="3"/>
        <v>0.28190097259062785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--11.25</f>
        <v>11.25</v>
      </c>
      <c r="E14" s="2"/>
      <c r="F14" s="19"/>
      <c r="G14" s="2"/>
      <c r="H14" s="2"/>
      <c r="I14" s="2"/>
      <c r="J14" s="19"/>
      <c r="K14" s="2"/>
      <c r="L14" s="2">
        <f t="shared" si="0"/>
        <v>11.25</v>
      </c>
      <c r="M14" s="2"/>
      <c r="N14" s="19">
        <f t="shared" si="1"/>
        <v>0</v>
      </c>
      <c r="O14" s="11"/>
      <c r="P14" s="2">
        <f>--153.15</f>
        <v>153.15</v>
      </c>
      <c r="Q14" s="2"/>
      <c r="R14" s="19"/>
      <c r="S14" s="2"/>
      <c r="T14" s="2"/>
      <c r="U14" s="2"/>
      <c r="V14" s="19"/>
      <c r="W14" s="2"/>
      <c r="X14" s="2">
        <f t="shared" si="2"/>
        <v>153.15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-2107.04</f>
        <v>-2107.04</v>
      </c>
      <c r="E15" s="2"/>
      <c r="F15" s="19"/>
      <c r="G15" s="2"/>
      <c r="H15" s="2"/>
      <c r="I15" s="2"/>
      <c r="J15" s="19"/>
      <c r="K15" s="2"/>
      <c r="L15" s="2">
        <f t="shared" si="0"/>
        <v>-2107.04</v>
      </c>
      <c r="M15" s="2"/>
      <c r="N15" s="19">
        <f t="shared" si="1"/>
        <v>0</v>
      </c>
      <c r="O15" s="11"/>
      <c r="P15" s="2">
        <f>-6779.48</f>
        <v>-6779.48</v>
      </c>
      <c r="Q15" s="2"/>
      <c r="R15" s="19"/>
      <c r="S15" s="2"/>
      <c r="T15" s="2"/>
      <c r="U15" s="2"/>
      <c r="V15" s="19"/>
      <c r="W15" s="2"/>
      <c r="X15" s="2">
        <f t="shared" si="2"/>
        <v>-6779.48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"4500", " - ", "SALES DISCOUNT")</f>
        <v xml:space="preserve">          4500 - SALES DISCOUNT</v>
      </c>
      <c r="C16" s="11"/>
      <c r="D16" s="2">
        <f>-4186.9</f>
        <v>-4186.8999999999996</v>
      </c>
      <c r="E16" s="2"/>
      <c r="F16" s="19"/>
      <c r="G16" s="2"/>
      <c r="H16" s="2"/>
      <c r="I16" s="2"/>
      <c r="J16" s="19"/>
      <c r="K16" s="2"/>
      <c r="L16" s="2">
        <f t="shared" si="0"/>
        <v>-4186.8999999999996</v>
      </c>
      <c r="M16" s="2"/>
      <c r="N16" s="19">
        <f t="shared" si="1"/>
        <v>0</v>
      </c>
      <c r="O16" s="11"/>
      <c r="P16" s="2">
        <f>-4683.76</f>
        <v>-4683.76</v>
      </c>
      <c r="Q16" s="2"/>
      <c r="R16" s="19"/>
      <c r="S16" s="2"/>
      <c r="T16" s="2"/>
      <c r="U16" s="2"/>
      <c r="V16" s="19"/>
      <c r="W16" s="2"/>
      <c r="X16" s="2">
        <f t="shared" si="2"/>
        <v>-4683.76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26614.14</v>
      </c>
      <c r="E18" s="4"/>
      <c r="F18" s="12">
        <f t="shared" ref="F18:F22" si="4">IF(D$12=0,0,D18/D$12)</f>
        <v>0.46284575425513597</v>
      </c>
      <c r="G18" s="4"/>
      <c r="H18" s="4">
        <f>SUM(OSRRefH16x_0)</f>
        <v>20014</v>
      </c>
      <c r="I18" s="4"/>
      <c r="J18" s="12">
        <f t="shared" ref="J18:J22" si="5">IF(H$12=0,0,H18/H$12)</f>
        <v>0.45001573953321039</v>
      </c>
      <c r="K18" s="4"/>
      <c r="L18" s="4">
        <f t="shared" ref="L18:L22" si="6">+D18-H18</f>
        <v>6600.1399999999994</v>
      </c>
      <c r="M18" s="4"/>
      <c r="N18" s="12">
        <f t="shared" ref="N18:N22" si="7">IF(H18=0,0,L18/H18)</f>
        <v>0.32977615669031674</v>
      </c>
      <c r="O18" s="10"/>
      <c r="P18" s="4">
        <f>SUM(OSRRefP16x_0)</f>
        <v>96763.67</v>
      </c>
      <c r="Q18" s="4"/>
      <c r="R18" s="12">
        <f t="shared" ref="R18:R22" si="8">IF(P$12=0,0,P18/P$12)</f>
        <v>0.47267600578327151</v>
      </c>
      <c r="S18" s="4"/>
      <c r="T18" s="4">
        <f>SUM(OSRRefT16x_0)</f>
        <v>75835</v>
      </c>
      <c r="U18" s="4"/>
      <c r="V18" s="12">
        <f t="shared" ref="V18:V22" si="9">IF(T$12=0,0,T18/T$12)</f>
        <v>0.45000860437102047</v>
      </c>
      <c r="W18" s="4"/>
      <c r="X18" s="4">
        <f t="shared" ref="X18:X22" si="10">+P18-T18</f>
        <v>20928.669999999998</v>
      </c>
      <c r="Y18" s="4"/>
      <c r="Z18" s="12">
        <f t="shared" ref="Z18:Z22" si="11">IF(T18=0,0,X18/T18)</f>
        <v>0.2759763961231621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507.6</v>
      </c>
      <c r="E19" s="2"/>
      <c r="F19" s="19">
        <f t="shared" si="4"/>
        <v>8.8276572100359826E-3</v>
      </c>
      <c r="G19" s="2"/>
      <c r="H19" s="2">
        <v>20014</v>
      </c>
      <c r="I19" s="2"/>
      <c r="J19" s="19">
        <f t="shared" si="5"/>
        <v>0.45001573953321039</v>
      </c>
      <c r="K19" s="2"/>
      <c r="L19" s="2">
        <f t="shared" si="6"/>
        <v>-19506.400000000001</v>
      </c>
      <c r="M19" s="2"/>
      <c r="N19" s="19">
        <f t="shared" si="7"/>
        <v>-0.97463775357249938</v>
      </c>
      <c r="O19" s="11"/>
      <c r="P19" s="2">
        <v>1681.3</v>
      </c>
      <c r="Q19" s="2"/>
      <c r="R19" s="19">
        <f t="shared" si="8"/>
        <v>8.2128981726655725E-3</v>
      </c>
      <c r="S19" s="2"/>
      <c r="T19" s="2">
        <v>75835</v>
      </c>
      <c r="U19" s="2"/>
      <c r="V19" s="19">
        <f t="shared" si="9"/>
        <v>0.45000860437102047</v>
      </c>
      <c r="W19" s="2"/>
      <c r="X19" s="2">
        <f t="shared" si="10"/>
        <v>-74153.7</v>
      </c>
      <c r="Y19" s="2"/>
      <c r="Z19" s="19">
        <f t="shared" si="11"/>
        <v>-0.97782949825278564</v>
      </c>
    </row>
    <row r="20" spans="1:26" s="24" customFormat="1" hidden="1" outlineLevel="1" x14ac:dyDescent="0.3">
      <c r="A20" s="44"/>
      <c r="B20" s="11" t="str">
        <f>CONCATENATE("          ", "5200", " - ", "PURCHASES OFFSET")</f>
        <v xml:space="preserve">          5200 - PURCHASES OFFSET</v>
      </c>
      <c r="C20" s="11"/>
      <c r="D20" s="2">
        <v>-548.51</v>
      </c>
      <c r="E20" s="2"/>
      <c r="F20" s="19">
        <f t="shared" si="4"/>
        <v>-9.5391218602774563E-3</v>
      </c>
      <c r="G20" s="2"/>
      <c r="H20" s="2"/>
      <c r="I20" s="2"/>
      <c r="J20" s="19">
        <f t="shared" si="5"/>
        <v>0</v>
      </c>
      <c r="K20" s="2"/>
      <c r="L20" s="2">
        <f t="shared" si="6"/>
        <v>-548.51</v>
      </c>
      <c r="M20" s="2"/>
      <c r="N20" s="19">
        <f t="shared" si="7"/>
        <v>0</v>
      </c>
      <c r="O20" s="11"/>
      <c r="P20" s="2">
        <v>-1774.29</v>
      </c>
      <c r="Q20" s="2"/>
      <c r="R20" s="19">
        <f t="shared" si="8"/>
        <v>-8.6671403668463678E-3</v>
      </c>
      <c r="S20" s="2"/>
      <c r="T20" s="2"/>
      <c r="U20" s="2"/>
      <c r="V20" s="19">
        <f t="shared" si="9"/>
        <v>0</v>
      </c>
      <c r="W20" s="2"/>
      <c r="X20" s="2">
        <f t="shared" si="10"/>
        <v>-1774.29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"5300", " - ", "COG$ OFFSET")</f>
        <v xml:space="preserve">          5300 - COG$ OFFSET</v>
      </c>
      <c r="C21" s="11"/>
      <c r="D21" s="2">
        <v>26614.14</v>
      </c>
      <c r="E21" s="2"/>
      <c r="F21" s="19">
        <f t="shared" si="4"/>
        <v>0.46284575425513597</v>
      </c>
      <c r="G21" s="2"/>
      <c r="H21" s="2"/>
      <c r="I21" s="2"/>
      <c r="J21" s="19">
        <f t="shared" si="5"/>
        <v>0</v>
      </c>
      <c r="K21" s="2"/>
      <c r="L21" s="2">
        <f t="shared" si="6"/>
        <v>26614.14</v>
      </c>
      <c r="M21" s="2"/>
      <c r="N21" s="19">
        <f t="shared" si="7"/>
        <v>0</v>
      </c>
      <c r="O21" s="11"/>
      <c r="P21" s="2">
        <v>96763.67</v>
      </c>
      <c r="Q21" s="2"/>
      <c r="R21" s="19">
        <f t="shared" si="8"/>
        <v>0.47267600578327151</v>
      </c>
      <c r="S21" s="2"/>
      <c r="T21" s="2"/>
      <c r="U21" s="2"/>
      <c r="V21" s="19">
        <f t="shared" si="9"/>
        <v>0</v>
      </c>
      <c r="W21" s="2"/>
      <c r="X21" s="2">
        <f t="shared" si="10"/>
        <v>96763.67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"5500", " - ", "FREIGHT-IN")</f>
        <v xml:space="preserve">          5500 - FREIGHT-IN</v>
      </c>
      <c r="C22" s="11"/>
      <c r="D22" s="2">
        <v>40.909999999999997</v>
      </c>
      <c r="E22" s="2"/>
      <c r="F22" s="19">
        <f t="shared" si="4"/>
        <v>7.114646502414736E-4</v>
      </c>
      <c r="G22" s="2"/>
      <c r="H22" s="2"/>
      <c r="I22" s="2"/>
      <c r="J22" s="19">
        <f t="shared" si="5"/>
        <v>0</v>
      </c>
      <c r="K22" s="2"/>
      <c r="L22" s="2">
        <f t="shared" si="6"/>
        <v>40.909999999999997</v>
      </c>
      <c r="M22" s="2"/>
      <c r="N22" s="19">
        <f t="shared" si="7"/>
        <v>0</v>
      </c>
      <c r="O22" s="11"/>
      <c r="P22" s="2">
        <v>92.99</v>
      </c>
      <c r="Q22" s="2"/>
      <c r="R22" s="19">
        <f t="shared" si="8"/>
        <v>4.5424219418079551E-4</v>
      </c>
      <c r="S22" s="2"/>
      <c r="T22" s="2"/>
      <c r="U22" s="2"/>
      <c r="V22" s="19">
        <f t="shared" si="9"/>
        <v>0</v>
      </c>
      <c r="W22" s="2"/>
      <c r="X22" s="2">
        <f t="shared" si="10"/>
        <v>92.99</v>
      </c>
      <c r="Y22" s="2"/>
      <c r="Z22" s="19">
        <f t="shared" si="11"/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108</v>
      </c>
      <c r="C24" s="26"/>
      <c r="D24" s="20">
        <f>D12-D18</f>
        <v>30886.959999999999</v>
      </c>
      <c r="E24" s="13"/>
      <c r="F24" s="22">
        <f>IF(D$12=0,0,D24/D$12)</f>
        <v>0.53715424574486403</v>
      </c>
      <c r="G24" s="13"/>
      <c r="H24" s="20">
        <f>H12-H18</f>
        <v>24460</v>
      </c>
      <c r="I24" s="13"/>
      <c r="J24" s="22">
        <f>IF(H$12=0,0,H24/H$12)</f>
        <v>0.54998426046678961</v>
      </c>
      <c r="K24" s="16"/>
      <c r="L24" s="20">
        <f>+D24-H24</f>
        <v>6426.9599999999991</v>
      </c>
      <c r="M24" s="16"/>
      <c r="N24" s="22">
        <f>IF(H24=0,0,L24/H24)</f>
        <v>0.26275388389206866</v>
      </c>
      <c r="O24" s="25"/>
      <c r="P24" s="20">
        <f>P12-P18</f>
        <v>107950.90999999999</v>
      </c>
      <c r="Q24" s="13"/>
      <c r="R24" s="22">
        <f>IF(P$12=0,0,P24/P$12)</f>
        <v>0.52732399421672849</v>
      </c>
      <c r="S24" s="13"/>
      <c r="T24" s="20">
        <f>T12-T18</f>
        <v>92684</v>
      </c>
      <c r="U24" s="13"/>
      <c r="V24" s="22">
        <f>IF(T$12=0,0,T24/T$12)</f>
        <v>0.54999139562897947</v>
      </c>
      <c r="W24" s="16"/>
      <c r="X24" s="20">
        <f>+P24-T24</f>
        <v>15266.909999999989</v>
      </c>
      <c r="Y24" s="16"/>
      <c r="Z24" s="22">
        <f>IF(T24=0,0,X24/T24)</f>
        <v>0.16472001639980999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295</v>
      </c>
      <c r="C26" s="10"/>
      <c r="D26" s="21">
        <f>SUM(OSRRefD22x_0)</f>
        <v>19088.780000000002</v>
      </c>
      <c r="E26" s="21"/>
      <c r="F26" s="32">
        <f t="shared" ref="F26:F36" si="12">IF(D$12=0,0,D26/D$12)</f>
        <v>0.33197243183173891</v>
      </c>
      <c r="G26" s="21"/>
      <c r="H26" s="21">
        <f>SUM(OSRRefH22x_0)</f>
        <v>24990.112255769229</v>
      </c>
      <c r="I26" s="21"/>
      <c r="J26" s="32">
        <f t="shared" ref="J26:J36" si="13">IF(H$12=0,0,H26/H$12)</f>
        <v>0.56190385968811507</v>
      </c>
      <c r="K26" s="4"/>
      <c r="L26" s="21">
        <f t="shared" ref="L26:L36" si="14">+D26-H26</f>
        <v>-5901.3322557692263</v>
      </c>
      <c r="M26" s="4"/>
      <c r="N26" s="32">
        <f t="shared" ref="N26:N36" si="15">IF(H26=0,0,L26/H26)</f>
        <v>-0.23614668855306331</v>
      </c>
      <c r="O26" s="10"/>
      <c r="P26" s="21">
        <f>SUM(OSRRefP22x_0)</f>
        <v>103296.14</v>
      </c>
      <c r="Q26" s="21"/>
      <c r="R26" s="32">
        <f t="shared" ref="R26:R36" si="16">IF(P$12=0,0,P26/P$12)</f>
        <v>0.50458614134860358</v>
      </c>
      <c r="S26" s="21"/>
      <c r="T26" s="21">
        <f>SUM(OSRRefT22x_0)</f>
        <v>132192.09367</v>
      </c>
      <c r="U26" s="21"/>
      <c r="V26" s="32">
        <f t="shared" ref="V26:V36" si="17">IF(T$12=0,0,T26/T$12)</f>
        <v>0.78443435855897559</v>
      </c>
      <c r="W26" s="4"/>
      <c r="X26" s="21">
        <f t="shared" ref="X26:X36" si="18">+P26-T26</f>
        <v>-28895.953670000003</v>
      </c>
      <c r="Y26" s="4"/>
      <c r="Z26" s="32">
        <f t="shared" ref="Z26:Z36" si="19">IF(T26=0,0,X26/T26)</f>
        <v>-0.2185906347934462</v>
      </c>
    </row>
    <row r="27" spans="1:26" s="28" customFormat="1" outlineLevel="1" collapsed="1" x14ac:dyDescent="0.3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1169.6900000000003</v>
      </c>
      <c r="E27" s="1"/>
      <c r="F27" s="5">
        <f t="shared" si="12"/>
        <v>2.0342045630431422E-2</v>
      </c>
      <c r="G27" s="1"/>
      <c r="H27" s="1">
        <f>SUM(OSRRefH22_0x_0)</f>
        <v>2825.0545634615378</v>
      </c>
      <c r="I27" s="1"/>
      <c r="J27" s="5">
        <f t="shared" si="13"/>
        <v>6.3521485889767901E-2</v>
      </c>
      <c r="K27" s="1"/>
      <c r="L27" s="1">
        <f t="shared" si="14"/>
        <v>-1655.3645634615375</v>
      </c>
      <c r="M27" s="1"/>
      <c r="N27" s="5">
        <f t="shared" si="15"/>
        <v>-0.58595843948345561</v>
      </c>
      <c r="O27" s="14"/>
      <c r="P27" s="1">
        <f>SUM(OSRRefP22_0x_0)</f>
        <v>7591.4699999999993</v>
      </c>
      <c r="Q27" s="1"/>
      <c r="R27" s="5">
        <f t="shared" si="16"/>
        <v>3.7083191631978533E-2</v>
      </c>
      <c r="S27" s="1"/>
      <c r="T27" s="1">
        <f>SUM(OSRRefT22_0x_0)</f>
        <v>16387.518669999998</v>
      </c>
      <c r="U27" s="1"/>
      <c r="V27" s="5">
        <f t="shared" si="17"/>
        <v>9.7244338442549497E-2</v>
      </c>
      <c r="W27" s="1"/>
      <c r="X27" s="1">
        <f t="shared" si="18"/>
        <v>-8796.0486699999983</v>
      </c>
      <c r="Y27" s="1"/>
      <c r="Z27" s="5">
        <f t="shared" si="19"/>
        <v>-0.53675293051550188</v>
      </c>
    </row>
    <row r="28" spans="1:26" s="24" customFormat="1" hidden="1" outlineLevel="2" x14ac:dyDescent="0.3">
      <c r="A28" s="29"/>
      <c r="B28" s="11" t="str">
        <f>CONCATENATE("          ", "6111", " - ", "F.I.C.A.")</f>
        <v xml:space="preserve">          6111 - F.I.C.A.</v>
      </c>
      <c r="C28" s="11"/>
      <c r="D28" s="6">
        <v>153.02000000000001</v>
      </c>
      <c r="E28" s="2"/>
      <c r="F28" s="7">
        <f t="shared" si="12"/>
        <v>2.661166482032518E-3</v>
      </c>
      <c r="G28" s="2"/>
      <c r="H28" s="6">
        <v>722.19300576923104</v>
      </c>
      <c r="I28" s="2"/>
      <c r="J28" s="7">
        <f t="shared" si="13"/>
        <v>1.6238543998048995E-2</v>
      </c>
      <c r="K28" s="2"/>
      <c r="L28" s="6">
        <f t="shared" si="14"/>
        <v>-569.17300576923105</v>
      </c>
      <c r="M28" s="2"/>
      <c r="N28" s="7">
        <f t="shared" si="15"/>
        <v>-0.78811758245011876</v>
      </c>
      <c r="O28" s="11"/>
      <c r="P28" s="6">
        <v>1644.53</v>
      </c>
      <c r="Q28" s="2"/>
      <c r="R28" s="7">
        <f t="shared" si="16"/>
        <v>8.0332822410597235E-3</v>
      </c>
      <c r="S28" s="2"/>
      <c r="T28" s="6">
        <v>4215.0045449999998</v>
      </c>
      <c r="U28" s="2"/>
      <c r="V28" s="7">
        <f t="shared" si="17"/>
        <v>2.5012043419436383E-2</v>
      </c>
      <c r="W28" s="2"/>
      <c r="X28" s="6">
        <f t="shared" si="18"/>
        <v>-2570.474545</v>
      </c>
      <c r="Y28" s="2"/>
      <c r="Z28" s="7">
        <f t="shared" si="19"/>
        <v>-0.60983909211893872</v>
      </c>
    </row>
    <row r="29" spans="1:26" s="24" customFormat="1" hidden="1" outlineLevel="2" x14ac:dyDescent="0.3">
      <c r="A29" s="29"/>
      <c r="B29" s="11" t="str">
        <f>CONCATENATE("          ", "6112", " - ", "COMPENSATION INSURANCE")</f>
        <v xml:space="preserve">          6112 - COMPENSATION INSURANCE</v>
      </c>
      <c r="C29" s="11"/>
      <c r="D29" s="6">
        <v>91.65</v>
      </c>
      <c r="E29" s="2"/>
      <c r="F29" s="7">
        <f t="shared" si="12"/>
        <v>1.5938825518120525E-3</v>
      </c>
      <c r="G29" s="2"/>
      <c r="H29" s="6">
        <v>196.119</v>
      </c>
      <c r="I29" s="2"/>
      <c r="J29" s="7">
        <f t="shared" si="13"/>
        <v>4.4097450195619914E-3</v>
      </c>
      <c r="K29" s="2"/>
      <c r="L29" s="6">
        <f t="shared" si="14"/>
        <v>-104.46899999999999</v>
      </c>
      <c r="M29" s="2"/>
      <c r="N29" s="7">
        <f t="shared" si="15"/>
        <v>-0.53268168815871997</v>
      </c>
      <c r="O29" s="11"/>
      <c r="P29" s="6">
        <v>313.99</v>
      </c>
      <c r="Q29" s="2"/>
      <c r="R29" s="7">
        <f t="shared" si="16"/>
        <v>1.5337940267859771E-3</v>
      </c>
      <c r="S29" s="2"/>
      <c r="T29" s="6">
        <v>1020.8055000000001</v>
      </c>
      <c r="U29" s="2"/>
      <c r="V29" s="7">
        <f t="shared" si="17"/>
        <v>6.0575098356861843E-3</v>
      </c>
      <c r="W29" s="2"/>
      <c r="X29" s="6">
        <f t="shared" si="18"/>
        <v>-706.81550000000004</v>
      </c>
      <c r="Y29" s="2"/>
      <c r="Z29" s="7">
        <f t="shared" si="19"/>
        <v>-0.69240957263651104</v>
      </c>
    </row>
    <row r="30" spans="1:26" s="24" customFormat="1" hidden="1" outlineLevel="2" x14ac:dyDescent="0.3">
      <c r="A30" s="29"/>
      <c r="B30" s="11" t="str">
        <f>CONCATENATE("          ", "6113", " - ", "GROUP INSURANCE")</f>
        <v xml:space="preserve">          6113 - GROUP INSURANCE</v>
      </c>
      <c r="C30" s="11"/>
      <c r="D30" s="6">
        <v>526.70000000000005</v>
      </c>
      <c r="E30" s="2"/>
      <c r="F30" s="7">
        <f t="shared" si="12"/>
        <v>9.1598247685696459E-3</v>
      </c>
      <c r="G30" s="2"/>
      <c r="H30" s="6">
        <v>988.5</v>
      </c>
      <c r="I30" s="2"/>
      <c r="J30" s="7">
        <f t="shared" si="13"/>
        <v>2.2226469397850428E-2</v>
      </c>
      <c r="K30" s="2"/>
      <c r="L30" s="6">
        <f t="shared" si="14"/>
        <v>-461.79999999999995</v>
      </c>
      <c r="M30" s="2"/>
      <c r="N30" s="7">
        <f t="shared" si="15"/>
        <v>-0.46717248356095087</v>
      </c>
      <c r="O30" s="11"/>
      <c r="P30" s="6">
        <v>3171.45</v>
      </c>
      <c r="Q30" s="2"/>
      <c r="R30" s="7">
        <f t="shared" si="16"/>
        <v>1.5492057282876481E-2</v>
      </c>
      <c r="S30" s="2"/>
      <c r="T30" s="6">
        <v>5931</v>
      </c>
      <c r="U30" s="2"/>
      <c r="V30" s="7">
        <f t="shared" si="17"/>
        <v>3.5194844498246489E-2</v>
      </c>
      <c r="W30" s="2"/>
      <c r="X30" s="6">
        <f t="shared" si="18"/>
        <v>-2759.55</v>
      </c>
      <c r="Y30" s="2"/>
      <c r="Z30" s="7">
        <f t="shared" si="19"/>
        <v>-0.46527567020738497</v>
      </c>
    </row>
    <row r="31" spans="1:26" s="24" customFormat="1" hidden="1" outlineLevel="2" x14ac:dyDescent="0.3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6">
        <v>16.100000000000001</v>
      </c>
      <c r="E31" s="2"/>
      <c r="F31" s="7">
        <f t="shared" si="12"/>
        <v>2.7999464358073156E-4</v>
      </c>
      <c r="G31" s="2"/>
      <c r="H31" s="6">
        <v>26.4006346153846</v>
      </c>
      <c r="I31" s="2"/>
      <c r="J31" s="7">
        <f t="shared" si="13"/>
        <v>5.9361952186411386E-4</v>
      </c>
      <c r="K31" s="2"/>
      <c r="L31" s="6">
        <f t="shared" si="14"/>
        <v>-10.300634615384599</v>
      </c>
      <c r="M31" s="2"/>
      <c r="N31" s="7">
        <f t="shared" si="15"/>
        <v>-0.39016617461847103</v>
      </c>
      <c r="O31" s="11"/>
      <c r="P31" s="6">
        <v>55.16</v>
      </c>
      <c r="Q31" s="2"/>
      <c r="R31" s="7">
        <f t="shared" si="16"/>
        <v>2.6944832165837917E-4</v>
      </c>
      <c r="S31" s="2"/>
      <c r="T31" s="6">
        <v>137.41612499999999</v>
      </c>
      <c r="U31" s="2"/>
      <c r="V31" s="7">
        <f t="shared" si="17"/>
        <v>8.154340163423709E-4</v>
      </c>
      <c r="W31" s="2"/>
      <c r="X31" s="6">
        <f t="shared" si="18"/>
        <v>-82.256124999999997</v>
      </c>
      <c r="Y31" s="2"/>
      <c r="Z31" s="7">
        <f t="shared" si="19"/>
        <v>-0.5985915044540806</v>
      </c>
    </row>
    <row r="32" spans="1:26" s="24" customFormat="1" hidden="1" outlineLevel="2" x14ac:dyDescent="0.3">
      <c r="A32" s="29"/>
      <c r="B32" s="11" t="str">
        <f>CONCATENATE("          ", "6115", " - ", "P.E.R.S.")</f>
        <v xml:space="preserve">          6115 - P.E.R.S.</v>
      </c>
      <c r="C32" s="11"/>
      <c r="D32" s="6">
        <v>92.45</v>
      </c>
      <c r="E32" s="2"/>
      <c r="F32" s="7">
        <f t="shared" si="12"/>
        <v>1.607795329132834E-3</v>
      </c>
      <c r="G32" s="2"/>
      <c r="H32" s="6">
        <v>206.11884615384599</v>
      </c>
      <c r="I32" s="2"/>
      <c r="J32" s="7">
        <f t="shared" si="13"/>
        <v>4.6345920347584208E-3</v>
      </c>
      <c r="K32" s="2"/>
      <c r="L32" s="6">
        <f t="shared" si="14"/>
        <v>-113.66884615384599</v>
      </c>
      <c r="M32" s="2"/>
      <c r="N32" s="7">
        <f t="shared" si="15"/>
        <v>-0.55147235818021312</v>
      </c>
      <c r="O32" s="11"/>
      <c r="P32" s="6">
        <v>584.91</v>
      </c>
      <c r="Q32" s="2"/>
      <c r="R32" s="7">
        <f t="shared" si="16"/>
        <v>2.8571975674619755E-3</v>
      </c>
      <c r="S32" s="2"/>
      <c r="T32" s="6">
        <v>1339.7725</v>
      </c>
      <c r="U32" s="2"/>
      <c r="V32" s="7">
        <f t="shared" si="17"/>
        <v>7.9502756365751048E-3</v>
      </c>
      <c r="W32" s="2"/>
      <c r="X32" s="6">
        <f t="shared" si="18"/>
        <v>-754.86250000000007</v>
      </c>
      <c r="Y32" s="2"/>
      <c r="Z32" s="7">
        <f t="shared" si="19"/>
        <v>-0.56342588014009842</v>
      </c>
    </row>
    <row r="33" spans="1:26" s="24" customFormat="1" hidden="1" outlineLevel="2" x14ac:dyDescent="0.3">
      <c r="A33" s="29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3">
      <c r="A34" s="29"/>
      <c r="B34" s="11" t="str">
        <f>CONCATENATE("          ", "6118", " - ", "VACATION")</f>
        <v xml:space="preserve">          6118 - VACATION</v>
      </c>
      <c r="C34" s="11"/>
      <c r="D34" s="6">
        <v>89.07</v>
      </c>
      <c r="E34" s="2"/>
      <c r="F34" s="7">
        <f t="shared" si="12"/>
        <v>1.5490138449525312E-3</v>
      </c>
      <c r="G34" s="2"/>
      <c r="H34" s="6">
        <v>119.836538461538</v>
      </c>
      <c r="I34" s="2"/>
      <c r="J34" s="7">
        <f t="shared" si="13"/>
        <v>2.6945302527665153E-3</v>
      </c>
      <c r="K34" s="2"/>
      <c r="L34" s="6">
        <f t="shared" si="14"/>
        <v>-30.766538461538005</v>
      </c>
      <c r="M34" s="2"/>
      <c r="N34" s="7">
        <f t="shared" si="15"/>
        <v>-0.25673754312765507</v>
      </c>
      <c r="O34" s="11"/>
      <c r="P34" s="6">
        <v>563.52</v>
      </c>
      <c r="Q34" s="2"/>
      <c r="R34" s="7">
        <f t="shared" si="16"/>
        <v>2.7527106276455738E-3</v>
      </c>
      <c r="S34" s="2"/>
      <c r="T34" s="6">
        <v>778.93749999999795</v>
      </c>
      <c r="U34" s="2"/>
      <c r="V34" s="7">
        <f t="shared" si="17"/>
        <v>4.622253277078537E-3</v>
      </c>
      <c r="W34" s="2"/>
      <c r="X34" s="6">
        <f t="shared" si="18"/>
        <v>-215.41749999999797</v>
      </c>
      <c r="Y34" s="2"/>
      <c r="Z34" s="7">
        <f t="shared" si="19"/>
        <v>-0.27655299687073548</v>
      </c>
    </row>
    <row r="35" spans="1:26" s="24" customFormat="1" hidden="1" outlineLevel="2" x14ac:dyDescent="0.3">
      <c r="A35" s="29"/>
      <c r="B35" s="11" t="str">
        <f>CONCATENATE("          ", "6119", " - ", "SICK LEAVE")</f>
        <v xml:space="preserve">          6119 - SICK LEAVE</v>
      </c>
      <c r="C35" s="11"/>
      <c r="D35" s="6">
        <v>56.18</v>
      </c>
      <c r="E35" s="2"/>
      <c r="F35" s="7">
        <f t="shared" si="12"/>
        <v>9.7702478735189413E-4</v>
      </c>
      <c r="G35" s="2"/>
      <c r="H35" s="6">
        <v>565.88653846153795</v>
      </c>
      <c r="I35" s="2"/>
      <c r="J35" s="7">
        <f t="shared" si="13"/>
        <v>1.2723985664917434E-2</v>
      </c>
      <c r="K35" s="2"/>
      <c r="L35" s="6">
        <f t="shared" si="14"/>
        <v>-509.70653846153795</v>
      </c>
      <c r="M35" s="2"/>
      <c r="N35" s="7">
        <f t="shared" si="15"/>
        <v>-0.90072214802505246</v>
      </c>
      <c r="O35" s="11"/>
      <c r="P35" s="6">
        <v>355.45</v>
      </c>
      <c r="Q35" s="2"/>
      <c r="R35" s="7">
        <f t="shared" si="16"/>
        <v>1.7363199045226775E-3</v>
      </c>
      <c r="S35" s="2"/>
      <c r="T35" s="6">
        <v>2964.5825</v>
      </c>
      <c r="U35" s="2"/>
      <c r="V35" s="7">
        <f t="shared" si="17"/>
        <v>1.7591977759184425E-2</v>
      </c>
      <c r="W35" s="2"/>
      <c r="X35" s="6">
        <f t="shared" si="18"/>
        <v>-2609.1325000000002</v>
      </c>
      <c r="Y35" s="2"/>
      <c r="Z35" s="7">
        <f t="shared" si="19"/>
        <v>-0.88010116095605373</v>
      </c>
    </row>
    <row r="36" spans="1:26" s="24" customFormat="1" hidden="1" outlineLevel="2" x14ac:dyDescent="0.3">
      <c r="A36" s="29"/>
      <c r="B36" s="11" t="str">
        <f>CONCATENATE("          ", "6156", " - ", "EMPLOYEE MEALS")</f>
        <v xml:space="preserve">          6156 - EMPLOYEE MEALS</v>
      </c>
      <c r="C36" s="11"/>
      <c r="D36" s="6">
        <v>144.52000000000001</v>
      </c>
      <c r="E36" s="2"/>
      <c r="F36" s="7">
        <f t="shared" si="12"/>
        <v>2.5133432229992123E-3</v>
      </c>
      <c r="G36" s="2"/>
      <c r="H36" s="6"/>
      <c r="I36" s="2"/>
      <c r="J36" s="7">
        <f t="shared" si="13"/>
        <v>0</v>
      </c>
      <c r="K36" s="2"/>
      <c r="L36" s="6">
        <f t="shared" si="14"/>
        <v>144.52000000000001</v>
      </c>
      <c r="M36" s="2"/>
      <c r="N36" s="7">
        <f t="shared" si="15"/>
        <v>0</v>
      </c>
      <c r="O36" s="11"/>
      <c r="P36" s="6">
        <v>902.46</v>
      </c>
      <c r="Q36" s="2"/>
      <c r="R36" s="7">
        <f t="shared" si="16"/>
        <v>4.4083816599677465E-3</v>
      </c>
      <c r="S36" s="2"/>
      <c r="T36" s="6"/>
      <c r="U36" s="2"/>
      <c r="V36" s="7">
        <f t="shared" si="17"/>
        <v>0</v>
      </c>
      <c r="W36" s="2"/>
      <c r="X36" s="6">
        <f t="shared" si="18"/>
        <v>902.46</v>
      </c>
      <c r="Y36" s="2"/>
      <c r="Z36" s="7">
        <f t="shared" si="19"/>
        <v>0</v>
      </c>
    </row>
    <row r="37" spans="1:26" s="28" customFormat="1" outlineLevel="1" collapsed="1" x14ac:dyDescent="0.3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8229.0500000000011</v>
      </c>
      <c r="E37" s="1"/>
      <c r="F37" s="5">
        <f t="shared" ref="F37:F47" si="20">IF(D$12=0,0,D37/D$12)</f>
        <v>0.14311117526447323</v>
      </c>
      <c r="G37" s="1"/>
      <c r="H37" s="1">
        <f>SUM(OSRRefH22_1x_0)</f>
        <v>11980.05769230769</v>
      </c>
      <c r="I37" s="1"/>
      <c r="J37" s="5">
        <f t="shared" ref="J37:J47" si="21">IF(H$12=0,0,H37/H$12)</f>
        <v>0.26937216558680777</v>
      </c>
      <c r="K37" s="1"/>
      <c r="L37" s="1">
        <f t="shared" ref="L37:L47" si="22">+D37-H37</f>
        <v>-3751.0076923076886</v>
      </c>
      <c r="M37" s="1"/>
      <c r="N37" s="5">
        <f t="shared" ref="N37:N47" si="23">IF(H37=0,0,L37/H37)</f>
        <v>-0.31310430956573643</v>
      </c>
      <c r="O37" s="14"/>
      <c r="P37" s="1">
        <f>SUM(OSRRefP22_1x_0)</f>
        <v>40693.29</v>
      </c>
      <c r="Q37" s="1"/>
      <c r="R37" s="5">
        <f t="shared" ref="R37:R47" si="24">IF(P$12=0,0,P37/P$12)</f>
        <v>0.19878061445354797</v>
      </c>
      <c r="S37" s="1"/>
      <c r="T37" s="1">
        <f>SUM(OSRRefT22_1x_0)</f>
        <v>62153.574999999997</v>
      </c>
      <c r="U37" s="1"/>
      <c r="V37" s="5">
        <f t="shared" ref="V37:V47" si="25">IF(T$12=0,0,T37/T$12)</f>
        <v>0.36882235830974547</v>
      </c>
      <c r="W37" s="1"/>
      <c r="X37" s="1">
        <f t="shared" ref="X37:X47" si="26">+P37-T37</f>
        <v>-21460.284999999996</v>
      </c>
      <c r="Y37" s="1"/>
      <c r="Z37" s="5">
        <f t="shared" ref="Z37:Z47" si="27">IF(T37=0,0,X37/T37)</f>
        <v>-0.34527836894337932</v>
      </c>
    </row>
    <row r="38" spans="1:26" s="24" customFormat="1" hidden="1" outlineLevel="2" x14ac:dyDescent="0.3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"6002", " - ", "STAFF SALARIES")</f>
        <v xml:space="preserve">          6002 - STAFF SALARIES</v>
      </c>
      <c r="C39" s="11"/>
      <c r="D39" s="6">
        <v>1218</v>
      </c>
      <c r="E39" s="2"/>
      <c r="F39" s="7">
        <f t="shared" si="20"/>
        <v>2.1182203470890122E-2</v>
      </c>
      <c r="G39" s="2"/>
      <c r="H39" s="6">
        <v>2157.0576923076901</v>
      </c>
      <c r="I39" s="2"/>
      <c r="J39" s="7">
        <f t="shared" si="21"/>
        <v>4.850154454979741E-2</v>
      </c>
      <c r="K39" s="2"/>
      <c r="L39" s="6">
        <f t="shared" si="22"/>
        <v>-939.0576923076901</v>
      </c>
      <c r="M39" s="2"/>
      <c r="N39" s="7">
        <f t="shared" si="23"/>
        <v>-0.43534194549198907</v>
      </c>
      <c r="O39" s="11"/>
      <c r="P39" s="6">
        <v>7354.87</v>
      </c>
      <c r="Q39" s="2"/>
      <c r="R39" s="7">
        <f t="shared" si="24"/>
        <v>3.5927436140601225E-2</v>
      </c>
      <c r="S39" s="2"/>
      <c r="T39" s="6">
        <v>14020.875</v>
      </c>
      <c r="U39" s="2"/>
      <c r="V39" s="7">
        <f t="shared" si="25"/>
        <v>8.3200558987413881E-2</v>
      </c>
      <c r="W39" s="2"/>
      <c r="X39" s="6">
        <f t="shared" si="26"/>
        <v>-6666.0050000000001</v>
      </c>
      <c r="Y39" s="2"/>
      <c r="Z39" s="7">
        <f t="shared" si="27"/>
        <v>-0.47543430777323098</v>
      </c>
    </row>
    <row r="40" spans="1:26" s="24" customFormat="1" hidden="1" outlineLevel="2" x14ac:dyDescent="0.3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"6004", " - ", "STAFF HOURLY")</f>
        <v xml:space="preserve">          6004 - STAFF HOURLY</v>
      </c>
      <c r="C41" s="11"/>
      <c r="D41" s="6">
        <v>778.25</v>
      </c>
      <c r="E41" s="2"/>
      <c r="F41" s="7">
        <f t="shared" si="20"/>
        <v>1.3534523687372938E-2</v>
      </c>
      <c r="G41" s="2"/>
      <c r="H41" s="6">
        <v>6688</v>
      </c>
      <c r="I41" s="2"/>
      <c r="J41" s="7">
        <f t="shared" si="21"/>
        <v>0.1503799973017943</v>
      </c>
      <c r="K41" s="2"/>
      <c r="L41" s="6">
        <f t="shared" si="22"/>
        <v>-5909.75</v>
      </c>
      <c r="M41" s="2"/>
      <c r="N41" s="7">
        <f t="shared" si="23"/>
        <v>-0.88363486842105265</v>
      </c>
      <c r="O41" s="11"/>
      <c r="P41" s="6">
        <v>4272.3900000000003</v>
      </c>
      <c r="Q41" s="2"/>
      <c r="R41" s="7">
        <f t="shared" si="24"/>
        <v>2.0869983955221952E-2</v>
      </c>
      <c r="S41" s="2"/>
      <c r="T41" s="6">
        <v>32771.199999999997</v>
      </c>
      <c r="U41" s="2"/>
      <c r="V41" s="7">
        <f t="shared" si="25"/>
        <v>0.19446590592158747</v>
      </c>
      <c r="W41" s="2"/>
      <c r="X41" s="6">
        <f t="shared" si="26"/>
        <v>-28498.809999999998</v>
      </c>
      <c r="Y41" s="2"/>
      <c r="Z41" s="7">
        <f t="shared" si="27"/>
        <v>-0.86962973586563808</v>
      </c>
    </row>
    <row r="42" spans="1:26" s="24" customFormat="1" hidden="1" outlineLevel="2" x14ac:dyDescent="0.3">
      <c r="A42" s="29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3433.65</v>
      </c>
      <c r="Q42" s="2"/>
      <c r="R42" s="7">
        <f t="shared" si="24"/>
        <v>1.677286493223883E-2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3433.65</v>
      </c>
      <c r="Y42" s="2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"6007", " - ", "STUDENT HOURLY")</f>
        <v xml:space="preserve">          6007 - STUDENT HOURLY</v>
      </c>
      <c r="C44" s="11"/>
      <c r="D44" s="6">
        <v>6026.02</v>
      </c>
      <c r="E44" s="2"/>
      <c r="F44" s="7">
        <f t="shared" si="20"/>
        <v>0.1047983429882211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6026.02</v>
      </c>
      <c r="M44" s="2"/>
      <c r="N44" s="7">
        <f t="shared" si="23"/>
        <v>0</v>
      </c>
      <c r="O44" s="11"/>
      <c r="P44" s="6">
        <v>24743.56</v>
      </c>
      <c r="Q44" s="2"/>
      <c r="R44" s="7">
        <f t="shared" si="24"/>
        <v>0.12086857711844463</v>
      </c>
      <c r="S44" s="2"/>
      <c r="T44" s="6">
        <v>5001.75</v>
      </c>
      <c r="U44" s="2"/>
      <c r="V44" s="7">
        <f t="shared" si="25"/>
        <v>2.9680629483915762E-2</v>
      </c>
      <c r="W44" s="2"/>
      <c r="X44" s="6">
        <f t="shared" si="26"/>
        <v>19741.810000000001</v>
      </c>
      <c r="Y44" s="2"/>
      <c r="Z44" s="7">
        <f t="shared" si="27"/>
        <v>3.9469805568051184</v>
      </c>
    </row>
    <row r="45" spans="1:26" s="24" customFormat="1" hidden="1" outlineLevel="2" x14ac:dyDescent="0.3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>
        <v>206.78</v>
      </c>
      <c r="E45" s="2"/>
      <c r="F45" s="7">
        <f t="shared" si="20"/>
        <v>3.5961051179890474E-3</v>
      </c>
      <c r="G45" s="2"/>
      <c r="H45" s="6">
        <v>3135</v>
      </c>
      <c r="I45" s="2"/>
      <c r="J45" s="7">
        <f t="shared" si="21"/>
        <v>7.0490623735216085E-2</v>
      </c>
      <c r="K45" s="2"/>
      <c r="L45" s="6">
        <f t="shared" si="22"/>
        <v>-2928.22</v>
      </c>
      <c r="M45" s="2"/>
      <c r="N45" s="7">
        <f t="shared" si="23"/>
        <v>-0.93404146730462512</v>
      </c>
      <c r="O45" s="11"/>
      <c r="P45" s="6">
        <v>888.82</v>
      </c>
      <c r="Q45" s="2"/>
      <c r="R45" s="7">
        <f t="shared" si="24"/>
        <v>4.3417523070413454E-3</v>
      </c>
      <c r="S45" s="2"/>
      <c r="T45" s="6">
        <v>10359.75</v>
      </c>
      <c r="U45" s="2"/>
      <c r="V45" s="7">
        <f t="shared" si="25"/>
        <v>6.1475263916828372E-2</v>
      </c>
      <c r="W45" s="2"/>
      <c r="X45" s="6">
        <f t="shared" si="26"/>
        <v>-9470.93</v>
      </c>
      <c r="Y45" s="2"/>
      <c r="Z45" s="7">
        <f t="shared" si="27"/>
        <v>-0.91420449335167353</v>
      </c>
    </row>
    <row r="46" spans="1:26" s="24" customFormat="1" hidden="1" outlineLevel="2" x14ac:dyDescent="0.3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8" si="28">IF(D$12=0,0,D48/D$12)</f>
        <v>0</v>
      </c>
      <c r="G48" s="1"/>
      <c r="H48" s="1">
        <f>SUM(OSRRefH22_2x_0)</f>
        <v>50</v>
      </c>
      <c r="I48" s="1"/>
      <c r="J48" s="5">
        <f t="shared" ref="J48:J58" si="29">IF(H$12=0,0,H48/H$12)</f>
        <v>1.1242523721725053E-3</v>
      </c>
      <c r="K48" s="1"/>
      <c r="L48" s="1">
        <f t="shared" ref="L48:L58" si="30">+D48-H48</f>
        <v>-50</v>
      </c>
      <c r="M48" s="1"/>
      <c r="N48" s="5">
        <f t="shared" ref="N48:N58" si="31">IF(H48=0,0,L48/H48)</f>
        <v>-1</v>
      </c>
      <c r="O48" s="14"/>
      <c r="P48" s="1">
        <f>SUM(OSRRefP22_2x_0)</f>
        <v>1124.3499999999999</v>
      </c>
      <c r="Q48" s="1"/>
      <c r="R48" s="5">
        <f t="shared" ref="R48:R58" si="32">IF(P$12=0,0,P48/P$12)</f>
        <v>5.4922810090028756E-3</v>
      </c>
      <c r="S48" s="1"/>
      <c r="T48" s="1">
        <f>SUM(OSRRefT22_2x_0)</f>
        <v>300</v>
      </c>
      <c r="U48" s="1"/>
      <c r="V48" s="5">
        <f t="shared" ref="V48:V58" si="33">IF(T$12=0,0,T48/T$12)</f>
        <v>1.7802146938920833E-3</v>
      </c>
      <c r="W48" s="1"/>
      <c r="X48" s="1">
        <f t="shared" ref="X48:X58" si="34">+P48-T48</f>
        <v>824.34999999999991</v>
      </c>
      <c r="Y48" s="1"/>
      <c r="Z48" s="5">
        <f t="shared" ref="Z48:Z58" si="35">IF(T48=0,0,X48/T48)</f>
        <v>2.7478333333333329</v>
      </c>
    </row>
    <row r="49" spans="1:26" s="24" customFormat="1" hidden="1" outlineLevel="2" x14ac:dyDescent="0.3">
      <c r="A49" s="29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50</v>
      </c>
      <c r="I49" s="2"/>
      <c r="J49" s="7">
        <f t="shared" si="29"/>
        <v>1.1242523721725053E-3</v>
      </c>
      <c r="K49" s="2"/>
      <c r="L49" s="6">
        <f t="shared" si="30"/>
        <v>-50</v>
      </c>
      <c r="M49" s="2"/>
      <c r="N49" s="7">
        <f t="shared" si="31"/>
        <v>-1</v>
      </c>
      <c r="O49" s="11"/>
      <c r="P49" s="6">
        <v>1124.3499999999999</v>
      </c>
      <c r="Q49" s="2"/>
      <c r="R49" s="7">
        <f t="shared" si="32"/>
        <v>5.4922810090028756E-3</v>
      </c>
      <c r="S49" s="2"/>
      <c r="T49" s="6">
        <v>300</v>
      </c>
      <c r="U49" s="2"/>
      <c r="V49" s="7">
        <f t="shared" si="33"/>
        <v>1.7802146938920833E-3</v>
      </c>
      <c r="W49" s="2"/>
      <c r="X49" s="6">
        <f t="shared" si="34"/>
        <v>824.34999999999991</v>
      </c>
      <c r="Y49" s="2"/>
      <c r="Z49" s="7">
        <f t="shared" si="35"/>
        <v>2.7478333333333329</v>
      </c>
    </row>
    <row r="50" spans="1:26" s="28" customFormat="1" outlineLevel="1" collapsed="1" x14ac:dyDescent="0.3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-1.01</v>
      </c>
      <c r="E50" s="1"/>
      <c r="F50" s="5">
        <f t="shared" si="28"/>
        <v>-1.7564881367486884E-5</v>
      </c>
      <c r="G50" s="1"/>
      <c r="H50" s="1">
        <f>SUM(OSRRefH22_3x_0)</f>
        <v>10</v>
      </c>
      <c r="I50" s="1"/>
      <c r="J50" s="5">
        <f t="shared" si="29"/>
        <v>2.2485047443450106E-4</v>
      </c>
      <c r="K50" s="1"/>
      <c r="L50" s="1">
        <f t="shared" si="30"/>
        <v>-11.01</v>
      </c>
      <c r="M50" s="1"/>
      <c r="N50" s="5">
        <f t="shared" si="31"/>
        <v>-1.101</v>
      </c>
      <c r="O50" s="14"/>
      <c r="P50" s="1">
        <f>SUM(OSRRefP22_3x_0)</f>
        <v>-10.029999999999999</v>
      </c>
      <c r="Q50" s="1"/>
      <c r="R50" s="5">
        <f t="shared" si="32"/>
        <v>-4.8995044710542846E-5</v>
      </c>
      <c r="S50" s="1"/>
      <c r="T50" s="1">
        <f>SUM(OSRRefT22_3x_0)</f>
        <v>60</v>
      </c>
      <c r="U50" s="1"/>
      <c r="V50" s="5">
        <f t="shared" si="33"/>
        <v>3.560429387784167E-4</v>
      </c>
      <c r="W50" s="1"/>
      <c r="X50" s="1">
        <f t="shared" si="34"/>
        <v>-70.03</v>
      </c>
      <c r="Y50" s="1"/>
      <c r="Z50" s="5">
        <f t="shared" si="35"/>
        <v>-1.1671666666666667</v>
      </c>
    </row>
    <row r="51" spans="1:26" s="24" customFormat="1" hidden="1" outlineLevel="2" x14ac:dyDescent="0.3">
      <c r="A51" s="29"/>
      <c r="B51" s="11" t="str">
        <f>CONCATENATE("          ", "6272", " - ", "CASH (OVER/SHORT)")</f>
        <v xml:space="preserve">          6272 - CASH (OVER/SHORT)</v>
      </c>
      <c r="C51" s="11"/>
      <c r="D51" s="6">
        <v>-1.01</v>
      </c>
      <c r="E51" s="2"/>
      <c r="F51" s="7">
        <f t="shared" si="28"/>
        <v>-1.7564881367486884E-5</v>
      </c>
      <c r="G51" s="2"/>
      <c r="H51" s="6">
        <v>10</v>
      </c>
      <c r="I51" s="2"/>
      <c r="J51" s="7">
        <f t="shared" si="29"/>
        <v>2.2485047443450106E-4</v>
      </c>
      <c r="K51" s="2"/>
      <c r="L51" s="6">
        <f t="shared" si="30"/>
        <v>-11.01</v>
      </c>
      <c r="M51" s="2"/>
      <c r="N51" s="7">
        <f t="shared" si="31"/>
        <v>-1.101</v>
      </c>
      <c r="O51" s="11"/>
      <c r="P51" s="6">
        <v>-10.029999999999999</v>
      </c>
      <c r="Q51" s="2"/>
      <c r="R51" s="7">
        <f t="shared" si="32"/>
        <v>-4.8995044710542846E-5</v>
      </c>
      <c r="S51" s="2"/>
      <c r="T51" s="6">
        <v>60</v>
      </c>
      <c r="U51" s="2"/>
      <c r="V51" s="7">
        <f t="shared" si="33"/>
        <v>3.560429387784167E-4</v>
      </c>
      <c r="W51" s="2"/>
      <c r="X51" s="6">
        <f t="shared" si="34"/>
        <v>-70.03</v>
      </c>
      <c r="Y51" s="2"/>
      <c r="Z51" s="7">
        <f t="shared" si="35"/>
        <v>-1.1671666666666667</v>
      </c>
    </row>
    <row r="52" spans="1:26" s="28" customFormat="1" outlineLevel="1" collapsed="1" x14ac:dyDescent="0.3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1000.14</v>
      </c>
      <c r="E52" s="1"/>
      <c r="F52" s="5">
        <f t="shared" si="28"/>
        <v>1.7393406387008249E-2</v>
      </c>
      <c r="G52" s="1"/>
      <c r="H52" s="1">
        <f>SUM(OSRRefH22_4x_0)</f>
        <v>864</v>
      </c>
      <c r="I52" s="1"/>
      <c r="J52" s="5">
        <f t="shared" si="29"/>
        <v>1.9427080991140891E-2</v>
      </c>
      <c r="K52" s="1"/>
      <c r="L52" s="1">
        <f t="shared" si="30"/>
        <v>136.13999999999999</v>
      </c>
      <c r="M52" s="1"/>
      <c r="N52" s="5">
        <f t="shared" si="31"/>
        <v>0.15756944444444443</v>
      </c>
      <c r="O52" s="14"/>
      <c r="P52" s="1">
        <f>SUM(OSRRefP22_4x_0)</f>
        <v>3474.58</v>
      </c>
      <c r="Q52" s="1"/>
      <c r="R52" s="5">
        <f t="shared" si="32"/>
        <v>1.6972801839517243E-2</v>
      </c>
      <c r="S52" s="1"/>
      <c r="T52" s="1">
        <f>SUM(OSRRefT22_4x_0)</f>
        <v>3220</v>
      </c>
      <c r="U52" s="1"/>
      <c r="V52" s="5">
        <f t="shared" si="33"/>
        <v>1.9107637714441694E-2</v>
      </c>
      <c r="W52" s="1"/>
      <c r="X52" s="1">
        <f t="shared" si="34"/>
        <v>254.57999999999993</v>
      </c>
      <c r="Y52" s="1"/>
      <c r="Z52" s="5">
        <f t="shared" si="35"/>
        <v>7.9062111801242216E-2</v>
      </c>
    </row>
    <row r="53" spans="1:26" s="24" customFormat="1" hidden="1" outlineLevel="2" x14ac:dyDescent="0.3">
      <c r="A53" s="29"/>
      <c r="B53" s="11" t="str">
        <f>CONCATENATE("          ", "6381", " - ", "BANK/CREDIT CARD FEES")</f>
        <v xml:space="preserve">          6381 - BANK/CREDIT CARD FEES</v>
      </c>
      <c r="C53" s="11"/>
      <c r="D53" s="6">
        <v>1000.14</v>
      </c>
      <c r="E53" s="2"/>
      <c r="F53" s="7">
        <f t="shared" si="28"/>
        <v>1.7393406387008249E-2</v>
      </c>
      <c r="G53" s="2"/>
      <c r="H53" s="6">
        <v>864</v>
      </c>
      <c r="I53" s="2"/>
      <c r="J53" s="7">
        <f t="shared" si="29"/>
        <v>1.9427080991140891E-2</v>
      </c>
      <c r="K53" s="2"/>
      <c r="L53" s="6">
        <f t="shared" si="30"/>
        <v>136.13999999999999</v>
      </c>
      <c r="M53" s="2"/>
      <c r="N53" s="7">
        <f t="shared" si="31"/>
        <v>0.15756944444444443</v>
      </c>
      <c r="O53" s="11"/>
      <c r="P53" s="6">
        <v>3474.58</v>
      </c>
      <c r="Q53" s="2"/>
      <c r="R53" s="7">
        <f t="shared" si="32"/>
        <v>1.6972801839517243E-2</v>
      </c>
      <c r="S53" s="2"/>
      <c r="T53" s="6">
        <v>3220</v>
      </c>
      <c r="U53" s="2"/>
      <c r="V53" s="7">
        <f t="shared" si="33"/>
        <v>1.9107637714441694E-2</v>
      </c>
      <c r="W53" s="2"/>
      <c r="X53" s="6">
        <f t="shared" si="34"/>
        <v>254.57999999999993</v>
      </c>
      <c r="Y53" s="2"/>
      <c r="Z53" s="7">
        <f t="shared" si="35"/>
        <v>7.9062111801242216E-2</v>
      </c>
    </row>
    <row r="54" spans="1:26" s="28" customFormat="1" outlineLevel="1" collapsed="1" x14ac:dyDescent="0.3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SUM(OSRRefD22_5x_0)</f>
        <v>0</v>
      </c>
      <c r="E54" s="1"/>
      <c r="F54" s="5">
        <f t="shared" si="28"/>
        <v>0</v>
      </c>
      <c r="G54" s="1"/>
      <c r="H54" s="1">
        <f>SUM(OSRRefH22_5x_0)</f>
        <v>25</v>
      </c>
      <c r="I54" s="1"/>
      <c r="J54" s="5">
        <f t="shared" si="29"/>
        <v>5.6212618608625267E-4</v>
      </c>
      <c r="K54" s="1"/>
      <c r="L54" s="1">
        <f t="shared" si="30"/>
        <v>-25</v>
      </c>
      <c r="M54" s="1"/>
      <c r="N54" s="5">
        <f t="shared" si="31"/>
        <v>-1</v>
      </c>
      <c r="O54" s="14"/>
      <c r="P54" s="1">
        <f>SUM(OSRRefP22_5x_0)</f>
        <v>0</v>
      </c>
      <c r="Q54" s="1"/>
      <c r="R54" s="5">
        <f t="shared" si="32"/>
        <v>0</v>
      </c>
      <c r="S54" s="1"/>
      <c r="T54" s="1">
        <f>SUM(OSRRefT22_5x_0)</f>
        <v>150</v>
      </c>
      <c r="U54" s="1"/>
      <c r="V54" s="5">
        <f t="shared" si="33"/>
        <v>8.9010734694604167E-4</v>
      </c>
      <c r="W54" s="1"/>
      <c r="X54" s="1">
        <f t="shared" si="34"/>
        <v>-150</v>
      </c>
      <c r="Y54" s="1"/>
      <c r="Z54" s="5">
        <f t="shared" si="35"/>
        <v>-1</v>
      </c>
    </row>
    <row r="55" spans="1:26" s="24" customFormat="1" hidden="1" outlineLevel="2" x14ac:dyDescent="0.3">
      <c r="A55" s="29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>
        <v>25</v>
      </c>
      <c r="I55" s="2"/>
      <c r="J55" s="7">
        <f t="shared" si="29"/>
        <v>5.6212618608625267E-4</v>
      </c>
      <c r="K55" s="2"/>
      <c r="L55" s="6">
        <f t="shared" si="30"/>
        <v>-25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150</v>
      </c>
      <c r="U55" s="2"/>
      <c r="V55" s="7">
        <f t="shared" si="33"/>
        <v>8.9010734694604167E-4</v>
      </c>
      <c r="W55" s="2"/>
      <c r="X55" s="6">
        <f t="shared" si="34"/>
        <v>-150</v>
      </c>
      <c r="Y55" s="2"/>
      <c r="Z55" s="7">
        <f t="shared" si="35"/>
        <v>-1</v>
      </c>
    </row>
    <row r="56" spans="1:26" s="28" customFormat="1" outlineLevel="1" collapsed="1" x14ac:dyDescent="0.3">
      <c r="A56" s="27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160</v>
      </c>
      <c r="E56" s="1"/>
      <c r="F56" s="5">
        <f t="shared" si="28"/>
        <v>2.7825554641563379E-3</v>
      </c>
      <c r="G56" s="1"/>
      <c r="H56" s="1">
        <f>SUM(OSRRefH22_6x_0)</f>
        <v>1125</v>
      </c>
      <c r="I56" s="1"/>
      <c r="J56" s="5">
        <f t="shared" si="29"/>
        <v>2.5295678373881369E-2</v>
      </c>
      <c r="K56" s="1"/>
      <c r="L56" s="1">
        <f t="shared" si="30"/>
        <v>-965</v>
      </c>
      <c r="M56" s="1"/>
      <c r="N56" s="5">
        <f t="shared" si="31"/>
        <v>-0.85777777777777775</v>
      </c>
      <c r="O56" s="14"/>
      <c r="P56" s="1">
        <f>SUM(OSRRefP22_6x_0)</f>
        <v>1295.0899999999999</v>
      </c>
      <c r="Q56" s="1"/>
      <c r="R56" s="5">
        <f t="shared" si="32"/>
        <v>6.3263202845640016E-3</v>
      </c>
      <c r="S56" s="1"/>
      <c r="T56" s="1">
        <f>SUM(OSRRefT22_6x_0)</f>
        <v>1250</v>
      </c>
      <c r="U56" s="1"/>
      <c r="V56" s="5">
        <f t="shared" si="33"/>
        <v>7.4175612245503475E-3</v>
      </c>
      <c r="W56" s="1"/>
      <c r="X56" s="1">
        <f t="shared" si="34"/>
        <v>45.089999999999918</v>
      </c>
      <c r="Y56" s="1"/>
      <c r="Z56" s="5">
        <f t="shared" si="35"/>
        <v>3.6071999999999937E-2</v>
      </c>
    </row>
    <row r="57" spans="1:26" s="24" customFormat="1" hidden="1" outlineLevel="2" x14ac:dyDescent="0.3">
      <c r="A57" s="29"/>
      <c r="B57" s="11" t="str">
        <f>CONCATENATE("          ", "6276", " - ", "PROPERTY TAX")</f>
        <v xml:space="preserve">          6276 - PROPERTY TAX</v>
      </c>
      <c r="C57" s="11"/>
      <c r="D57" s="6"/>
      <c r="E57" s="2"/>
      <c r="F57" s="7">
        <f t="shared" si="28"/>
        <v>0</v>
      </c>
      <c r="G57" s="2"/>
      <c r="H57" s="6">
        <v>1125</v>
      </c>
      <c r="I57" s="2"/>
      <c r="J57" s="7">
        <f t="shared" si="29"/>
        <v>2.5295678373881369E-2</v>
      </c>
      <c r="K57" s="2"/>
      <c r="L57" s="6">
        <f t="shared" si="30"/>
        <v>-1125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1250</v>
      </c>
      <c r="U57" s="2"/>
      <c r="V57" s="7">
        <f t="shared" si="33"/>
        <v>7.4175612245503475E-3</v>
      </c>
      <c r="W57" s="2"/>
      <c r="X57" s="6">
        <f t="shared" si="34"/>
        <v>-1250</v>
      </c>
      <c r="Y57" s="2"/>
      <c r="Z57" s="7">
        <f t="shared" si="35"/>
        <v>-1</v>
      </c>
    </row>
    <row r="58" spans="1:26" s="24" customFormat="1" hidden="1" outlineLevel="2" x14ac:dyDescent="0.3">
      <c r="A58" s="29"/>
      <c r="B58" s="11" t="str">
        <f>CONCATENATE("          ", "6279", " - ", "GENERAL EXPENSE")</f>
        <v xml:space="preserve">          6279 - GENERAL EXPENSE</v>
      </c>
      <c r="C58" s="11"/>
      <c r="D58" s="6">
        <v>160</v>
      </c>
      <c r="E58" s="2"/>
      <c r="F58" s="7">
        <f t="shared" si="28"/>
        <v>2.7825554641563379E-3</v>
      </c>
      <c r="G58" s="2"/>
      <c r="H58" s="6"/>
      <c r="I58" s="2"/>
      <c r="J58" s="7">
        <f t="shared" si="29"/>
        <v>0</v>
      </c>
      <c r="K58" s="2"/>
      <c r="L58" s="6">
        <f t="shared" si="30"/>
        <v>160</v>
      </c>
      <c r="M58" s="2"/>
      <c r="N58" s="7">
        <f t="shared" si="31"/>
        <v>0</v>
      </c>
      <c r="O58" s="11"/>
      <c r="P58" s="6">
        <v>1295.0899999999999</v>
      </c>
      <c r="Q58" s="2"/>
      <c r="R58" s="7">
        <f t="shared" si="32"/>
        <v>6.3263202845640016E-3</v>
      </c>
      <c r="S58" s="2"/>
      <c r="T58" s="6"/>
      <c r="U58" s="2"/>
      <c r="V58" s="7">
        <f t="shared" si="33"/>
        <v>0</v>
      </c>
      <c r="W58" s="2"/>
      <c r="X58" s="6">
        <f t="shared" si="34"/>
        <v>1295.0899999999999</v>
      </c>
      <c r="Y58" s="2"/>
      <c r="Z58" s="7">
        <f t="shared" si="35"/>
        <v>0</v>
      </c>
    </row>
    <row r="59" spans="1:26" s="28" customFormat="1" outlineLevel="1" collapsed="1" x14ac:dyDescent="0.3">
      <c r="A59" s="27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SUM(OSRRefD22_7x_0)</f>
        <v>219.08</v>
      </c>
      <c r="E59" s="1"/>
      <c r="F59" s="5">
        <f t="shared" ref="F59:F69" si="36">IF(D$12=0,0,D59/D$12)</f>
        <v>3.8100140692960659E-3</v>
      </c>
      <c r="G59" s="1"/>
      <c r="H59" s="1">
        <f>SUM(OSRRefH22_7x_0)</f>
        <v>175</v>
      </c>
      <c r="I59" s="1"/>
      <c r="J59" s="5">
        <f t="shared" ref="J59:J69" si="37">IF(H$12=0,0,H59/H$12)</f>
        <v>3.9348833026037686E-3</v>
      </c>
      <c r="K59" s="1"/>
      <c r="L59" s="1">
        <f t="shared" ref="L59:L69" si="38">+D59-H59</f>
        <v>44.080000000000013</v>
      </c>
      <c r="M59" s="1"/>
      <c r="N59" s="5">
        <f t="shared" ref="N59:N69" si="39">IF(H59=0,0,L59/H59)</f>
        <v>0.25188571428571438</v>
      </c>
      <c r="O59" s="14"/>
      <c r="P59" s="1">
        <f>SUM(OSRRefP22_7x_0)</f>
        <v>1314.48</v>
      </c>
      <c r="Q59" s="1"/>
      <c r="R59" s="5">
        <f t="shared" ref="R59:R69" si="40">IF(P$12=0,0,P59/P$12)</f>
        <v>6.421037524537823E-3</v>
      </c>
      <c r="S59" s="1"/>
      <c r="T59" s="1">
        <f>SUM(OSRRefT22_7x_0)</f>
        <v>1050</v>
      </c>
      <c r="U59" s="1"/>
      <c r="V59" s="5">
        <f t="shared" ref="V59:V69" si="41">IF(T$12=0,0,T59/T$12)</f>
        <v>6.2307514286222918E-3</v>
      </c>
      <c r="W59" s="1"/>
      <c r="X59" s="1">
        <f t="shared" ref="X59:X69" si="42">+P59-T59</f>
        <v>264.48</v>
      </c>
      <c r="Y59" s="1"/>
      <c r="Z59" s="5">
        <f t="shared" ref="Z59:Z69" si="43">IF(T59=0,0,X59/T59)</f>
        <v>0.25188571428571432</v>
      </c>
    </row>
    <row r="60" spans="1:26" s="24" customFormat="1" hidden="1" outlineLevel="2" x14ac:dyDescent="0.3">
      <c r="A60" s="29"/>
      <c r="B60" s="11" t="str">
        <f>CONCATENATE("          ", "6314", " - ", "LIABILITY INSURANCE")</f>
        <v xml:space="preserve">          6314 - LIABILITY INSURANCE</v>
      </c>
      <c r="C60" s="11"/>
      <c r="D60" s="6">
        <v>219.08</v>
      </c>
      <c r="E60" s="2"/>
      <c r="F60" s="7">
        <f t="shared" si="36"/>
        <v>3.8100140692960659E-3</v>
      </c>
      <c r="G60" s="2"/>
      <c r="H60" s="6">
        <v>175</v>
      </c>
      <c r="I60" s="2"/>
      <c r="J60" s="7">
        <f t="shared" si="37"/>
        <v>3.9348833026037686E-3</v>
      </c>
      <c r="K60" s="2"/>
      <c r="L60" s="6">
        <f t="shared" si="38"/>
        <v>44.080000000000013</v>
      </c>
      <c r="M60" s="2"/>
      <c r="N60" s="7">
        <f t="shared" si="39"/>
        <v>0.25188571428571438</v>
      </c>
      <c r="O60" s="11"/>
      <c r="P60" s="6">
        <v>1314.48</v>
      </c>
      <c r="Q60" s="2"/>
      <c r="R60" s="7">
        <f t="shared" si="40"/>
        <v>6.421037524537823E-3</v>
      </c>
      <c r="S60" s="2"/>
      <c r="T60" s="6">
        <v>1050</v>
      </c>
      <c r="U60" s="2"/>
      <c r="V60" s="7">
        <f t="shared" si="41"/>
        <v>6.2307514286222918E-3</v>
      </c>
      <c r="W60" s="2"/>
      <c r="X60" s="6">
        <f t="shared" si="42"/>
        <v>264.48</v>
      </c>
      <c r="Y60" s="2"/>
      <c r="Z60" s="7">
        <f t="shared" si="43"/>
        <v>0.25188571428571432</v>
      </c>
    </row>
    <row r="61" spans="1:26" s="28" customFormat="1" outlineLevel="1" collapsed="1" x14ac:dyDescent="0.3">
      <c r="A61" s="27"/>
      <c r="B61" s="14" t="str">
        <f>CONCATENATE("     ","Inventory Adjustment                              ")</f>
        <v xml:space="preserve">     Inventory Adjustment                              </v>
      </c>
      <c r="C61" s="14"/>
      <c r="D61" s="1">
        <f>SUM(OSRRefD22_8x_0)</f>
        <v>100</v>
      </c>
      <c r="E61" s="1"/>
      <c r="F61" s="5">
        <f t="shared" si="36"/>
        <v>1.7390971650977113E-3</v>
      </c>
      <c r="G61" s="1"/>
      <c r="H61" s="1">
        <f>SUM(OSRRefH22_8x_0)</f>
        <v>100</v>
      </c>
      <c r="I61" s="1"/>
      <c r="J61" s="5">
        <f t="shared" si="37"/>
        <v>2.2485047443450107E-3</v>
      </c>
      <c r="K61" s="1"/>
      <c r="L61" s="1">
        <f t="shared" si="38"/>
        <v>0</v>
      </c>
      <c r="M61" s="1"/>
      <c r="N61" s="5">
        <f t="shared" si="39"/>
        <v>0</v>
      </c>
      <c r="O61" s="14"/>
      <c r="P61" s="1">
        <f>SUM(OSRRefP22_8x_0)</f>
        <v>600</v>
      </c>
      <c r="Q61" s="1"/>
      <c r="R61" s="5">
        <f t="shared" si="40"/>
        <v>2.9309099527742482E-3</v>
      </c>
      <c r="S61" s="1"/>
      <c r="T61" s="1">
        <f>SUM(OSRRefT22_8x_0)</f>
        <v>600</v>
      </c>
      <c r="U61" s="1"/>
      <c r="V61" s="5">
        <f t="shared" si="41"/>
        <v>3.5604293877841667E-3</v>
      </c>
      <c r="W61" s="1"/>
      <c r="X61" s="1">
        <f t="shared" si="42"/>
        <v>0</v>
      </c>
      <c r="Y61" s="1"/>
      <c r="Z61" s="5">
        <f t="shared" si="43"/>
        <v>0</v>
      </c>
    </row>
    <row r="62" spans="1:26" s="24" customFormat="1" hidden="1" outlineLevel="2" x14ac:dyDescent="0.3">
      <c r="A62" s="29"/>
      <c r="B62" s="11" t="str">
        <f>CONCATENATE("          ", "6408", " - ", "INVENTORY ADJUSTMENT")</f>
        <v xml:space="preserve">          6408 - INVENTORY ADJUSTMENT</v>
      </c>
      <c r="C62" s="11"/>
      <c r="D62" s="6">
        <v>100</v>
      </c>
      <c r="E62" s="2"/>
      <c r="F62" s="7">
        <f t="shared" si="36"/>
        <v>1.7390971650977113E-3</v>
      </c>
      <c r="G62" s="2"/>
      <c r="H62" s="6">
        <v>100</v>
      </c>
      <c r="I62" s="2"/>
      <c r="J62" s="7">
        <f t="shared" si="37"/>
        <v>2.2485047443450107E-3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600</v>
      </c>
      <c r="Q62" s="2"/>
      <c r="R62" s="7">
        <f t="shared" si="40"/>
        <v>2.9309099527742482E-3</v>
      </c>
      <c r="S62" s="2"/>
      <c r="T62" s="6">
        <v>600</v>
      </c>
      <c r="U62" s="2"/>
      <c r="V62" s="7">
        <f t="shared" si="41"/>
        <v>3.5604293877841667E-3</v>
      </c>
      <c r="W62" s="2"/>
      <c r="X62" s="6">
        <f t="shared" si="42"/>
        <v>0</v>
      </c>
      <c r="Y62" s="2"/>
      <c r="Z62" s="7">
        <f t="shared" si="43"/>
        <v>0</v>
      </c>
    </row>
    <row r="63" spans="1:26" s="28" customFormat="1" outlineLevel="1" collapsed="1" x14ac:dyDescent="0.3">
      <c r="A63" s="27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SUM(OSRRefD22_9x_0)</f>
        <v>0</v>
      </c>
      <c r="E63" s="1"/>
      <c r="F63" s="5">
        <f t="shared" si="36"/>
        <v>0</v>
      </c>
      <c r="G63" s="1"/>
      <c r="H63" s="1">
        <f>SUM(OSRRefH22_9x_0)</f>
        <v>0</v>
      </c>
      <c r="I63" s="1"/>
      <c r="J63" s="5">
        <f t="shared" si="37"/>
        <v>0</v>
      </c>
      <c r="K63" s="1"/>
      <c r="L63" s="1">
        <f t="shared" si="38"/>
        <v>0</v>
      </c>
      <c r="M63" s="1"/>
      <c r="N63" s="5">
        <f t="shared" si="39"/>
        <v>0</v>
      </c>
      <c r="O63" s="14"/>
      <c r="P63" s="1">
        <f>SUM(OSRRefP22_9x_0)</f>
        <v>161.46</v>
      </c>
      <c r="Q63" s="1"/>
      <c r="R63" s="5">
        <f t="shared" si="40"/>
        <v>7.8870786829155024E-4</v>
      </c>
      <c r="S63" s="1"/>
      <c r="T63" s="1">
        <f>SUM(OSRRefT22_9x_0)</f>
        <v>750</v>
      </c>
      <c r="U63" s="1"/>
      <c r="V63" s="5">
        <f t="shared" si="41"/>
        <v>4.4505367347302087E-3</v>
      </c>
      <c r="W63" s="1"/>
      <c r="X63" s="1">
        <f t="shared" si="42"/>
        <v>-588.54</v>
      </c>
      <c r="Y63" s="1"/>
      <c r="Z63" s="5">
        <f t="shared" si="43"/>
        <v>-0.78471999999999997</v>
      </c>
    </row>
    <row r="64" spans="1:26" s="24" customFormat="1" hidden="1" outlineLevel="2" x14ac:dyDescent="0.3">
      <c r="A64" s="29"/>
      <c r="B64" s="11" t="str">
        <f>CONCATENATE("          ", "6336", " - ", "PROFESSIONAL SERVICES")</f>
        <v xml:space="preserve">          6336 - PROFESSIONAL SERVICES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161.46</v>
      </c>
      <c r="Q64" s="2"/>
      <c r="R64" s="7">
        <f t="shared" si="40"/>
        <v>7.8870786829155024E-4</v>
      </c>
      <c r="S64" s="2"/>
      <c r="T64" s="6">
        <v>750</v>
      </c>
      <c r="U64" s="2"/>
      <c r="V64" s="7">
        <f t="shared" si="41"/>
        <v>4.4505367347302087E-3</v>
      </c>
      <c r="W64" s="2"/>
      <c r="X64" s="6">
        <f t="shared" si="42"/>
        <v>-588.54</v>
      </c>
      <c r="Y64" s="2"/>
      <c r="Z64" s="7">
        <f t="shared" si="43"/>
        <v>-0.78471999999999997</v>
      </c>
    </row>
    <row r="65" spans="1:26" s="28" customFormat="1" outlineLevel="1" collapsed="1" x14ac:dyDescent="0.3">
      <c r="A65" s="27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SUM(OSRRefD22_10x_0)</f>
        <v>6900</v>
      </c>
      <c r="E65" s="1"/>
      <c r="F65" s="5">
        <f t="shared" si="36"/>
        <v>0.11999770439174208</v>
      </c>
      <c r="G65" s="1"/>
      <c r="H65" s="1">
        <f>SUM(OSRRefH22_10x_0)</f>
        <v>6900</v>
      </c>
      <c r="I65" s="1"/>
      <c r="J65" s="5">
        <f t="shared" si="37"/>
        <v>0.15514682735980573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SUM(OSRRefP22_10x_0)</f>
        <v>41400</v>
      </c>
      <c r="Q65" s="1"/>
      <c r="R65" s="5">
        <f t="shared" si="40"/>
        <v>0.20223278674142312</v>
      </c>
      <c r="S65" s="1"/>
      <c r="T65" s="1">
        <f>SUM(OSRRefT22_10x_0)</f>
        <v>41400</v>
      </c>
      <c r="U65" s="1"/>
      <c r="V65" s="5">
        <f t="shared" si="41"/>
        <v>0.24566962775710752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3">
      <c r="A66" s="29"/>
      <c r="B66" s="11" t="str">
        <f>CONCATENATE("          ", "6273", " - ", "RENT")</f>
        <v xml:space="preserve">          6273 - RENT</v>
      </c>
      <c r="C66" s="11"/>
      <c r="D66" s="6">
        <v>6900</v>
      </c>
      <c r="E66" s="2"/>
      <c r="F66" s="7">
        <f t="shared" si="36"/>
        <v>0.11999770439174208</v>
      </c>
      <c r="G66" s="2"/>
      <c r="H66" s="6">
        <v>6900</v>
      </c>
      <c r="I66" s="2"/>
      <c r="J66" s="7">
        <f t="shared" si="37"/>
        <v>0.15514682735980573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41400</v>
      </c>
      <c r="Q66" s="2"/>
      <c r="R66" s="7">
        <f t="shared" si="40"/>
        <v>0.20223278674142312</v>
      </c>
      <c r="S66" s="2"/>
      <c r="T66" s="6">
        <v>41400</v>
      </c>
      <c r="U66" s="2"/>
      <c r="V66" s="7">
        <f t="shared" si="41"/>
        <v>0.24566962775710752</v>
      </c>
      <c r="W66" s="2"/>
      <c r="X66" s="6">
        <f t="shared" si="42"/>
        <v>0</v>
      </c>
      <c r="Y66" s="2"/>
      <c r="Z66" s="7">
        <f t="shared" si="43"/>
        <v>0</v>
      </c>
    </row>
    <row r="67" spans="1:26" s="28" customFormat="1" outlineLevel="1" collapsed="1" x14ac:dyDescent="0.3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SUM(OSRRefD22_11x_0)</f>
        <v>282.92</v>
      </c>
      <c r="E67" s="1"/>
      <c r="F67" s="5">
        <f t="shared" si="36"/>
        <v>4.9202536994944444E-3</v>
      </c>
      <c r="G67" s="1"/>
      <c r="H67" s="1">
        <f>SUM(OSRRefH22_11x_0)</f>
        <v>115</v>
      </c>
      <c r="I67" s="1"/>
      <c r="J67" s="5">
        <f t="shared" si="37"/>
        <v>2.5857804559967622E-3</v>
      </c>
      <c r="K67" s="1"/>
      <c r="L67" s="1">
        <f t="shared" si="38"/>
        <v>167.92000000000002</v>
      </c>
      <c r="M67" s="1"/>
      <c r="N67" s="5">
        <f t="shared" si="39"/>
        <v>1.4601739130434783</v>
      </c>
      <c r="O67" s="14"/>
      <c r="P67" s="1">
        <f>SUM(OSRRefP22_11x_0)</f>
        <v>1286.6399999999999</v>
      </c>
      <c r="Q67" s="1"/>
      <c r="R67" s="5">
        <f t="shared" si="40"/>
        <v>6.2850433027290967E-3</v>
      </c>
      <c r="S67" s="1"/>
      <c r="T67" s="1">
        <f>SUM(OSRRefT22_11x_0)</f>
        <v>690</v>
      </c>
      <c r="U67" s="1"/>
      <c r="V67" s="5">
        <f t="shared" si="41"/>
        <v>4.0944937959517917E-3</v>
      </c>
      <c r="W67" s="1"/>
      <c r="X67" s="1">
        <f t="shared" si="42"/>
        <v>596.63999999999987</v>
      </c>
      <c r="Y67" s="1"/>
      <c r="Z67" s="5">
        <f t="shared" si="43"/>
        <v>0.86469565217391287</v>
      </c>
    </row>
    <row r="68" spans="1:26" s="24" customFormat="1" hidden="1" outlineLevel="2" x14ac:dyDescent="0.3">
      <c r="A68" s="29"/>
      <c r="B68" s="11" t="str">
        <f>CONCATENATE("          ", "6373", " - ", "MAINTENANCE CONTRACTS")</f>
        <v xml:space="preserve">          6373 - MAINTENANCE CONTRACTS</v>
      </c>
      <c r="C68" s="11"/>
      <c r="D68" s="6">
        <v>232.93</v>
      </c>
      <c r="E68" s="2"/>
      <c r="F68" s="7">
        <f t="shared" si="36"/>
        <v>4.050879026662099E-3</v>
      </c>
      <c r="G68" s="2"/>
      <c r="H68" s="6">
        <v>115</v>
      </c>
      <c r="I68" s="2"/>
      <c r="J68" s="7">
        <f t="shared" si="37"/>
        <v>2.5857804559967622E-3</v>
      </c>
      <c r="K68" s="2"/>
      <c r="L68" s="6">
        <f t="shared" si="38"/>
        <v>117.93</v>
      </c>
      <c r="M68" s="2"/>
      <c r="N68" s="7">
        <f t="shared" si="39"/>
        <v>1.0254782608695652</v>
      </c>
      <c r="O68" s="11"/>
      <c r="P68" s="6">
        <v>463.83</v>
      </c>
      <c r="Q68" s="2"/>
      <c r="R68" s="7">
        <f t="shared" si="40"/>
        <v>2.2657399389921324E-3</v>
      </c>
      <c r="S68" s="2"/>
      <c r="T68" s="6">
        <v>690</v>
      </c>
      <c r="U68" s="2"/>
      <c r="V68" s="7">
        <f t="shared" si="41"/>
        <v>4.0944937959517917E-3</v>
      </c>
      <c r="W68" s="2"/>
      <c r="X68" s="6">
        <f t="shared" si="42"/>
        <v>-226.17000000000002</v>
      </c>
      <c r="Y68" s="2"/>
      <c r="Z68" s="7">
        <f t="shared" si="43"/>
        <v>-0.32778260869565218</v>
      </c>
    </row>
    <row r="69" spans="1:26" s="24" customFormat="1" hidden="1" outlineLevel="2" x14ac:dyDescent="0.3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49.99</v>
      </c>
      <c r="E69" s="2"/>
      <c r="F69" s="7">
        <f t="shared" si="36"/>
        <v>8.6937467283234584E-4</v>
      </c>
      <c r="G69" s="2"/>
      <c r="H69" s="6"/>
      <c r="I69" s="2"/>
      <c r="J69" s="7">
        <f t="shared" si="37"/>
        <v>0</v>
      </c>
      <c r="K69" s="2"/>
      <c r="L69" s="6">
        <f t="shared" si="38"/>
        <v>49.99</v>
      </c>
      <c r="M69" s="2"/>
      <c r="N69" s="7">
        <f t="shared" si="39"/>
        <v>0</v>
      </c>
      <c r="O69" s="11"/>
      <c r="P69" s="6">
        <v>822.81</v>
      </c>
      <c r="Q69" s="2"/>
      <c r="R69" s="7">
        <f t="shared" si="40"/>
        <v>4.0193033637369651E-3</v>
      </c>
      <c r="S69" s="2"/>
      <c r="T69" s="6">
        <v>0</v>
      </c>
      <c r="U69" s="2"/>
      <c r="V69" s="7">
        <f t="shared" si="41"/>
        <v>0</v>
      </c>
      <c r="W69" s="2"/>
      <c r="X69" s="6">
        <f t="shared" si="42"/>
        <v>822.81</v>
      </c>
      <c r="Y69" s="2"/>
      <c r="Z69" s="7">
        <f t="shared" si="43"/>
        <v>0</v>
      </c>
    </row>
    <row r="70" spans="1:26" s="28" customFormat="1" outlineLevel="1" collapsed="1" x14ac:dyDescent="0.3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223.45</v>
      </c>
      <c r="E70" s="1"/>
      <c r="F70" s="5">
        <f t="shared" ref="F70:F72" si="44">IF(D$12=0,0,D70/D$12)</f>
        <v>3.8860126154108355E-3</v>
      </c>
      <c r="G70" s="1"/>
      <c r="H70" s="1">
        <f>SUM(OSRRefH22_12x_0)</f>
        <v>120</v>
      </c>
      <c r="I70" s="1"/>
      <c r="J70" s="5">
        <f t="shared" ref="J70:J72" si="45">IF(H$12=0,0,H70/H$12)</f>
        <v>2.6982056932140126E-3</v>
      </c>
      <c r="K70" s="1"/>
      <c r="L70" s="1">
        <f t="shared" ref="L70:L72" si="46">+D70-H70</f>
        <v>103.44999999999999</v>
      </c>
      <c r="M70" s="1"/>
      <c r="N70" s="5">
        <f t="shared" ref="N70:N72" si="47">IF(H70=0,0,L70/H70)</f>
        <v>0.8620833333333332</v>
      </c>
      <c r="O70" s="14"/>
      <c r="P70" s="1">
        <f>SUM(OSRRefP22_12x_0)</f>
        <v>1029.92</v>
      </c>
      <c r="Q70" s="1"/>
      <c r="R70" s="5">
        <f t="shared" ref="R70:R72" si="48">IF(P$12=0,0,P70/P$12)</f>
        <v>5.0310046309354232E-3</v>
      </c>
      <c r="S70" s="1"/>
      <c r="T70" s="1">
        <f>SUM(OSRRefT22_12x_0)</f>
        <v>480</v>
      </c>
      <c r="U70" s="1"/>
      <c r="V70" s="5">
        <f t="shared" ref="V70:V72" si="49">IF(T$12=0,0,T70/T$12)</f>
        <v>2.8483435102273336E-3</v>
      </c>
      <c r="W70" s="1"/>
      <c r="X70" s="1">
        <f t="shared" ref="X70:X72" si="50">+P70-T70</f>
        <v>549.92000000000007</v>
      </c>
      <c r="Y70" s="1"/>
      <c r="Z70" s="5">
        <f t="shared" ref="Z70:Z72" si="51">IF(T70=0,0,X70/T70)</f>
        <v>1.1456666666666668</v>
      </c>
    </row>
    <row r="71" spans="1:26" s="24" customFormat="1" hidden="1" outlineLevel="2" x14ac:dyDescent="0.3">
      <c r="A71" s="29"/>
      <c r="B71" s="11" t="str">
        <f>CONCATENATE("          ", "6284", " - ", "TRASH REMOVAL EXPENSE")</f>
        <v xml:space="preserve">          6284 - TRASH REMOVAL EXPENSE</v>
      </c>
      <c r="C71" s="11"/>
      <c r="D71" s="6">
        <v>149.69999999999999</v>
      </c>
      <c r="E71" s="2"/>
      <c r="F71" s="7">
        <f t="shared" si="44"/>
        <v>2.6034284561512735E-3</v>
      </c>
      <c r="G71" s="2"/>
      <c r="H71" s="6">
        <v>120</v>
      </c>
      <c r="I71" s="2"/>
      <c r="J71" s="7">
        <f t="shared" si="45"/>
        <v>2.6982056932140126E-3</v>
      </c>
      <c r="K71" s="2"/>
      <c r="L71" s="6">
        <f t="shared" si="46"/>
        <v>29.699999999999989</v>
      </c>
      <c r="M71" s="2"/>
      <c r="N71" s="7">
        <f t="shared" si="47"/>
        <v>0.24749999999999991</v>
      </c>
      <c r="O71" s="11"/>
      <c r="P71" s="6">
        <v>891.07</v>
      </c>
      <c r="Q71" s="2"/>
      <c r="R71" s="7">
        <f t="shared" si="48"/>
        <v>4.3527432193642491E-3</v>
      </c>
      <c r="S71" s="2"/>
      <c r="T71" s="6">
        <v>480</v>
      </c>
      <c r="U71" s="2"/>
      <c r="V71" s="7">
        <f t="shared" si="49"/>
        <v>2.8483435102273336E-3</v>
      </c>
      <c r="W71" s="2"/>
      <c r="X71" s="6">
        <f t="shared" si="50"/>
        <v>411.07000000000005</v>
      </c>
      <c r="Y71" s="2"/>
      <c r="Z71" s="7">
        <f t="shared" si="51"/>
        <v>0.85639583333333347</v>
      </c>
    </row>
    <row r="72" spans="1:26" s="24" customFormat="1" hidden="1" outlineLevel="2" x14ac:dyDescent="0.3">
      <c r="A72" s="29"/>
      <c r="B72" s="11" t="str">
        <f>CONCATENATE("          ", "6285", " - ", "JANITORIAL SERVICES")</f>
        <v xml:space="preserve">          6285 - JANITORIAL SERVICES</v>
      </c>
      <c r="C72" s="11"/>
      <c r="D72" s="6">
        <v>73.75</v>
      </c>
      <c r="E72" s="2"/>
      <c r="F72" s="7">
        <f t="shared" si="44"/>
        <v>1.2825841592595619E-3</v>
      </c>
      <c r="G72" s="2"/>
      <c r="H72" s="6"/>
      <c r="I72" s="2"/>
      <c r="J72" s="7">
        <f t="shared" si="45"/>
        <v>0</v>
      </c>
      <c r="K72" s="2"/>
      <c r="L72" s="6">
        <f t="shared" si="46"/>
        <v>73.75</v>
      </c>
      <c r="M72" s="2"/>
      <c r="N72" s="7">
        <f t="shared" si="47"/>
        <v>0</v>
      </c>
      <c r="O72" s="11"/>
      <c r="P72" s="6">
        <v>138.85</v>
      </c>
      <c r="Q72" s="2"/>
      <c r="R72" s="7">
        <f t="shared" si="48"/>
        <v>6.7826141157117394E-4</v>
      </c>
      <c r="S72" s="2"/>
      <c r="T72" s="6"/>
      <c r="U72" s="2"/>
      <c r="V72" s="7">
        <f t="shared" si="49"/>
        <v>0</v>
      </c>
      <c r="W72" s="2"/>
      <c r="X72" s="6">
        <f t="shared" si="50"/>
        <v>138.85</v>
      </c>
      <c r="Y72" s="2"/>
      <c r="Z72" s="7">
        <f t="shared" si="51"/>
        <v>0</v>
      </c>
    </row>
    <row r="73" spans="1:26" s="28" customFormat="1" outlineLevel="1" collapsed="1" x14ac:dyDescent="0.3">
      <c r="A73" s="27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SUM(OSRRefD22_13x_0)</f>
        <v>0</v>
      </c>
      <c r="E73" s="1"/>
      <c r="F73" s="5">
        <f t="shared" ref="F73:F75" si="52">IF(D$12=0,0,D73/D$12)</f>
        <v>0</v>
      </c>
      <c r="G73" s="1"/>
      <c r="H73" s="1">
        <f>SUM(OSRRefH22_13x_0)</f>
        <v>61</v>
      </c>
      <c r="I73" s="1"/>
      <c r="J73" s="5">
        <f t="shared" ref="J73:J75" si="53">IF(H$12=0,0,H73/H$12)</f>
        <v>1.3715878940504563E-3</v>
      </c>
      <c r="K73" s="1"/>
      <c r="L73" s="1">
        <f t="shared" ref="L73:L75" si="54">+D73-H73</f>
        <v>-61</v>
      </c>
      <c r="M73" s="1"/>
      <c r="N73" s="5">
        <f t="shared" ref="N73:N75" si="55">IF(H73=0,0,L73/H73)</f>
        <v>-1</v>
      </c>
      <c r="O73" s="14"/>
      <c r="P73" s="1">
        <f>SUM(OSRRefP22_13x_0)</f>
        <v>0</v>
      </c>
      <c r="Q73" s="1"/>
      <c r="R73" s="5">
        <f t="shared" ref="R73:R75" si="56">IF(P$12=0,0,P73/P$12)</f>
        <v>0</v>
      </c>
      <c r="S73" s="1"/>
      <c r="T73" s="1">
        <f>SUM(OSRRefT22_13x_0)</f>
        <v>821</v>
      </c>
      <c r="U73" s="1"/>
      <c r="V73" s="5">
        <f t="shared" ref="V73:V75" si="57">IF(T$12=0,0,T73/T$12)</f>
        <v>4.8718542122846683E-3</v>
      </c>
      <c r="W73" s="1"/>
      <c r="X73" s="1">
        <f t="shared" ref="X73:X75" si="58">+P73-T73</f>
        <v>-821</v>
      </c>
      <c r="Y73" s="1"/>
      <c r="Z73" s="5">
        <f t="shared" ref="Z73:Z75" si="59">IF(T73=0,0,X73/T73)</f>
        <v>-1</v>
      </c>
    </row>
    <row r="74" spans="1:26" s="24" customFormat="1" hidden="1" outlineLevel="2" x14ac:dyDescent="0.3">
      <c r="A74" s="29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/>
      <c r="Q74" s="2"/>
      <c r="R74" s="7">
        <f t="shared" si="56"/>
        <v>0</v>
      </c>
      <c r="S74" s="2"/>
      <c r="T74" s="6">
        <v>395</v>
      </c>
      <c r="U74" s="2"/>
      <c r="V74" s="7">
        <f t="shared" si="57"/>
        <v>2.34394934695791E-3</v>
      </c>
      <c r="W74" s="2"/>
      <c r="X74" s="6">
        <f t="shared" si="58"/>
        <v>-395</v>
      </c>
      <c r="Y74" s="2"/>
      <c r="Z74" s="7">
        <f t="shared" si="59"/>
        <v>-1</v>
      </c>
    </row>
    <row r="75" spans="1:26" s="24" customFormat="1" hidden="1" outlineLevel="2" x14ac:dyDescent="0.3">
      <c r="A75" s="29"/>
      <c r="B75" s="11" t="str">
        <f>CONCATENATE("          ", "6275", " - ", "SUBSCRIPTIONS")</f>
        <v xml:space="preserve">          6275 - SUBSCRIPTIONS</v>
      </c>
      <c r="C75" s="11"/>
      <c r="D75" s="6"/>
      <c r="E75" s="2"/>
      <c r="F75" s="7">
        <f t="shared" si="52"/>
        <v>0</v>
      </c>
      <c r="G75" s="2"/>
      <c r="H75" s="6">
        <v>61</v>
      </c>
      <c r="I75" s="2"/>
      <c r="J75" s="7">
        <f t="shared" si="53"/>
        <v>1.3715878940504563E-3</v>
      </c>
      <c r="K75" s="2"/>
      <c r="L75" s="6">
        <f t="shared" si="54"/>
        <v>-61</v>
      </c>
      <c r="M75" s="2"/>
      <c r="N75" s="7">
        <f t="shared" si="55"/>
        <v>-1</v>
      </c>
      <c r="O75" s="11"/>
      <c r="P75" s="6"/>
      <c r="Q75" s="2"/>
      <c r="R75" s="7">
        <f t="shared" si="56"/>
        <v>0</v>
      </c>
      <c r="S75" s="2"/>
      <c r="T75" s="6">
        <v>426</v>
      </c>
      <c r="U75" s="2"/>
      <c r="V75" s="7">
        <f t="shared" si="57"/>
        <v>2.5279048653267583E-3</v>
      </c>
      <c r="W75" s="2"/>
      <c r="X75" s="6">
        <f t="shared" si="58"/>
        <v>-426</v>
      </c>
      <c r="Y75" s="2"/>
      <c r="Z75" s="7">
        <f t="shared" si="59"/>
        <v>-1</v>
      </c>
    </row>
    <row r="76" spans="1:26" s="28" customFormat="1" outlineLevel="1" collapsed="1" x14ac:dyDescent="0.3">
      <c r="A76" s="27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SUM(OSRRefD22_14x_0)</f>
        <v>420.29999999999995</v>
      </c>
      <c r="E76" s="1"/>
      <c r="F76" s="5">
        <f t="shared" ref="F76:F79" si="60">IF(D$12=0,0,D76/D$12)</f>
        <v>7.3094253849056798E-3</v>
      </c>
      <c r="G76" s="1"/>
      <c r="H76" s="1">
        <f>SUM(OSRRefH22_14x_0)</f>
        <v>70</v>
      </c>
      <c r="I76" s="1"/>
      <c r="J76" s="5">
        <f t="shared" ref="J76:J79" si="61">IF(H$12=0,0,H76/H$12)</f>
        <v>1.5739533210415073E-3</v>
      </c>
      <c r="K76" s="1"/>
      <c r="L76" s="1">
        <f t="shared" ref="L76:L79" si="62">+D76-H76</f>
        <v>350.29999999999995</v>
      </c>
      <c r="M76" s="1"/>
      <c r="N76" s="5">
        <f t="shared" ref="N76:N79" si="63">IF(H76=0,0,L76/H76)</f>
        <v>5.0042857142857136</v>
      </c>
      <c r="O76" s="14"/>
      <c r="P76" s="1">
        <f>SUM(OSRRefP22_14x_0)</f>
        <v>1006.73</v>
      </c>
      <c r="Q76" s="1"/>
      <c r="R76" s="5">
        <f t="shared" ref="R76:R79" si="64">IF(P$12=0,0,P76/P$12)</f>
        <v>4.9177249612606978E-3</v>
      </c>
      <c r="S76" s="1"/>
      <c r="T76" s="1">
        <f>SUM(OSRRefT22_14x_0)</f>
        <v>260</v>
      </c>
      <c r="U76" s="1"/>
      <c r="V76" s="5">
        <f t="shared" ref="V76:V79" si="65">IF(T$12=0,0,T76/T$12)</f>
        <v>1.5428527347064722E-3</v>
      </c>
      <c r="W76" s="1"/>
      <c r="X76" s="1">
        <f t="shared" ref="X76:X79" si="66">+P76-T76</f>
        <v>746.73</v>
      </c>
      <c r="Y76" s="1"/>
      <c r="Z76" s="5">
        <f t="shared" ref="Z76:Z79" si="67">IF(T76=0,0,X76/T76)</f>
        <v>2.8720384615384615</v>
      </c>
    </row>
    <row r="77" spans="1:26" s="24" customFormat="1" hidden="1" outlineLevel="2" x14ac:dyDescent="0.3">
      <c r="A77" s="29"/>
      <c r="B77" s="11" t="str">
        <f>CONCATENATE("          ", "6237", " - ", "JANITORIAL SUPPLIES")</f>
        <v xml:space="preserve">          6237 - JANITORIAL SUPPLIES</v>
      </c>
      <c r="C77" s="11"/>
      <c r="D77" s="6"/>
      <c r="E77" s="2"/>
      <c r="F77" s="7">
        <f t="shared" si="60"/>
        <v>0</v>
      </c>
      <c r="G77" s="2"/>
      <c r="H77" s="6">
        <v>50</v>
      </c>
      <c r="I77" s="2"/>
      <c r="J77" s="7">
        <f t="shared" si="61"/>
        <v>1.1242523721725053E-3</v>
      </c>
      <c r="K77" s="2"/>
      <c r="L77" s="6">
        <f t="shared" si="62"/>
        <v>-50</v>
      </c>
      <c r="M77" s="2"/>
      <c r="N77" s="7">
        <f t="shared" si="63"/>
        <v>-1</v>
      </c>
      <c r="O77" s="11"/>
      <c r="P77" s="6">
        <v>77.17</v>
      </c>
      <c r="Q77" s="2"/>
      <c r="R77" s="7">
        <f t="shared" si="64"/>
        <v>3.7696386842598121E-4</v>
      </c>
      <c r="S77" s="2"/>
      <c r="T77" s="6">
        <v>140</v>
      </c>
      <c r="U77" s="2"/>
      <c r="V77" s="7">
        <f t="shared" si="65"/>
        <v>8.3076685714963895E-4</v>
      </c>
      <c r="W77" s="2"/>
      <c r="X77" s="6">
        <f t="shared" si="66"/>
        <v>-62.83</v>
      </c>
      <c r="Y77" s="2"/>
      <c r="Z77" s="7">
        <f t="shared" si="67"/>
        <v>-0.44878571428571429</v>
      </c>
    </row>
    <row r="78" spans="1:26" s="24" customFormat="1" hidden="1" outlineLevel="2" x14ac:dyDescent="0.3">
      <c r="A78" s="29"/>
      <c r="B78" s="11" t="str">
        <f>CONCATENATE("          ", "6241", " - ", "OFFICE EXPENSE")</f>
        <v xml:space="preserve">          6241 - OFFICE EXPENSE</v>
      </c>
      <c r="C78" s="11"/>
      <c r="D78" s="6">
        <v>233.82</v>
      </c>
      <c r="E78" s="2"/>
      <c r="F78" s="7">
        <f t="shared" si="60"/>
        <v>4.0663569914314683E-3</v>
      </c>
      <c r="G78" s="2"/>
      <c r="H78" s="6">
        <v>20</v>
      </c>
      <c r="I78" s="2"/>
      <c r="J78" s="7">
        <f t="shared" si="61"/>
        <v>4.4970094886900212E-4</v>
      </c>
      <c r="K78" s="2"/>
      <c r="L78" s="6">
        <f t="shared" si="62"/>
        <v>213.82</v>
      </c>
      <c r="M78" s="2"/>
      <c r="N78" s="7">
        <f t="shared" si="63"/>
        <v>10.690999999999999</v>
      </c>
      <c r="O78" s="11"/>
      <c r="P78" s="6">
        <v>330.06</v>
      </c>
      <c r="Q78" s="2"/>
      <c r="R78" s="7">
        <f t="shared" si="64"/>
        <v>1.612293565021114E-3</v>
      </c>
      <c r="S78" s="2"/>
      <c r="T78" s="6">
        <v>120</v>
      </c>
      <c r="U78" s="2"/>
      <c r="V78" s="7">
        <f t="shared" si="65"/>
        <v>7.120858775568334E-4</v>
      </c>
      <c r="W78" s="2"/>
      <c r="X78" s="6">
        <f t="shared" si="66"/>
        <v>210.06</v>
      </c>
      <c r="Y78" s="2"/>
      <c r="Z78" s="7">
        <f t="shared" si="67"/>
        <v>1.7504999999999999</v>
      </c>
    </row>
    <row r="79" spans="1:26" s="24" customFormat="1" hidden="1" outlineLevel="2" x14ac:dyDescent="0.3">
      <c r="A79" s="29"/>
      <c r="B79" s="11" t="str">
        <f>CONCATENATE("          ", "6247", " - ", "STORE SUPPLIES")</f>
        <v xml:space="preserve">          6247 - STORE SUPPLIES</v>
      </c>
      <c r="C79" s="11"/>
      <c r="D79" s="6">
        <v>186.48</v>
      </c>
      <c r="E79" s="2"/>
      <c r="F79" s="7">
        <f t="shared" si="60"/>
        <v>3.2430683934742115E-3</v>
      </c>
      <c r="G79" s="2"/>
      <c r="H79" s="6"/>
      <c r="I79" s="2"/>
      <c r="J79" s="7">
        <f t="shared" si="61"/>
        <v>0</v>
      </c>
      <c r="K79" s="2"/>
      <c r="L79" s="6">
        <f t="shared" si="62"/>
        <v>186.48</v>
      </c>
      <c r="M79" s="2"/>
      <c r="N79" s="7">
        <f t="shared" si="63"/>
        <v>0</v>
      </c>
      <c r="O79" s="11"/>
      <c r="P79" s="6">
        <v>599.5</v>
      </c>
      <c r="Q79" s="2"/>
      <c r="R79" s="7">
        <f t="shared" si="64"/>
        <v>2.9284675278136029E-3</v>
      </c>
      <c r="S79" s="2"/>
      <c r="T79" s="6"/>
      <c r="U79" s="2"/>
      <c r="V79" s="7">
        <f t="shared" si="65"/>
        <v>0</v>
      </c>
      <c r="W79" s="2"/>
      <c r="X79" s="6">
        <f t="shared" si="66"/>
        <v>599.5</v>
      </c>
      <c r="Y79" s="2"/>
      <c r="Z79" s="7">
        <f t="shared" si="67"/>
        <v>0</v>
      </c>
    </row>
    <row r="80" spans="1:26" s="28" customFormat="1" outlineLevel="1" collapsed="1" x14ac:dyDescent="0.3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SUM(OSRRefD22_15x_0)</f>
        <v>297.83999999999997</v>
      </c>
      <c r="E80" s="1"/>
      <c r="F80" s="5">
        <f t="shared" ref="F80:F84" si="68">IF(D$12=0,0,D80/D$12)</f>
        <v>5.1797269965270223E-3</v>
      </c>
      <c r="G80" s="1"/>
      <c r="H80" s="1">
        <f>SUM(OSRRefH22_15x_0)</f>
        <v>250</v>
      </c>
      <c r="I80" s="1"/>
      <c r="J80" s="5">
        <f t="shared" ref="J80:J84" si="69">IF(H$12=0,0,H80/H$12)</f>
        <v>5.621261860862526E-3</v>
      </c>
      <c r="K80" s="1"/>
      <c r="L80" s="1">
        <f t="shared" ref="L80:L84" si="70">+D80-H80</f>
        <v>47.839999999999975</v>
      </c>
      <c r="M80" s="1"/>
      <c r="N80" s="5">
        <f t="shared" ref="N80:N84" si="71">IF(H80=0,0,L80/H80)</f>
        <v>0.19135999999999989</v>
      </c>
      <c r="O80" s="14"/>
      <c r="P80" s="1">
        <f>SUM(OSRRefP22_15x_0)</f>
        <v>1882.04</v>
      </c>
      <c r="Q80" s="1"/>
      <c r="R80" s="5">
        <f t="shared" ref="R80:R84" si="72">IF(P$12=0,0,P80/P$12)</f>
        <v>9.1934829458654097E-3</v>
      </c>
      <c r="S80" s="1"/>
      <c r="T80" s="1">
        <f>SUM(OSRRefT22_15x_0)</f>
        <v>1500</v>
      </c>
      <c r="U80" s="1"/>
      <c r="V80" s="5">
        <f t="shared" ref="V80:V84" si="73">IF(T$12=0,0,T80/T$12)</f>
        <v>8.9010734694604174E-3</v>
      </c>
      <c r="W80" s="1"/>
      <c r="X80" s="1">
        <f t="shared" ref="X80:X84" si="74">+P80-T80</f>
        <v>382.03999999999996</v>
      </c>
      <c r="Y80" s="1"/>
      <c r="Z80" s="5">
        <f t="shared" ref="Z80:Z84" si="75">IF(T80=0,0,X80/T80)</f>
        <v>0.25469333333333333</v>
      </c>
    </row>
    <row r="81" spans="1:26" s="24" customFormat="1" hidden="1" outlineLevel="2" x14ac:dyDescent="0.3">
      <c r="A81" s="29"/>
      <c r="B81" s="11" t="str">
        <f>CONCATENATE("          ", "6309", " - ", "TELEPHONE")</f>
        <v xml:space="preserve">          6309 - TELEPHONE</v>
      </c>
      <c r="C81" s="11"/>
      <c r="D81" s="6">
        <v>297.83999999999997</v>
      </c>
      <c r="E81" s="2"/>
      <c r="F81" s="7">
        <f t="shared" si="68"/>
        <v>5.1797269965270223E-3</v>
      </c>
      <c r="G81" s="2"/>
      <c r="H81" s="6">
        <v>250</v>
      </c>
      <c r="I81" s="2"/>
      <c r="J81" s="7">
        <f t="shared" si="69"/>
        <v>5.621261860862526E-3</v>
      </c>
      <c r="K81" s="2"/>
      <c r="L81" s="6">
        <f t="shared" si="70"/>
        <v>47.839999999999975</v>
      </c>
      <c r="M81" s="2"/>
      <c r="N81" s="7">
        <f t="shared" si="71"/>
        <v>0.19135999999999989</v>
      </c>
      <c r="O81" s="11"/>
      <c r="P81" s="6">
        <v>1882.04</v>
      </c>
      <c r="Q81" s="2"/>
      <c r="R81" s="7">
        <f t="shared" si="72"/>
        <v>9.1934829458654097E-3</v>
      </c>
      <c r="S81" s="2"/>
      <c r="T81" s="6">
        <v>1500</v>
      </c>
      <c r="U81" s="2"/>
      <c r="V81" s="7">
        <f t="shared" si="73"/>
        <v>8.9010734694604174E-3</v>
      </c>
      <c r="W81" s="2"/>
      <c r="X81" s="6">
        <f t="shared" si="74"/>
        <v>382.03999999999996</v>
      </c>
      <c r="Y81" s="2"/>
      <c r="Z81" s="7">
        <f t="shared" si="75"/>
        <v>0.25469333333333333</v>
      </c>
    </row>
    <row r="82" spans="1:26" s="28" customFormat="1" outlineLevel="1" collapsed="1" x14ac:dyDescent="0.3">
      <c r="A82" s="27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SUM(OSRRefD22_16x_0)</f>
        <v>24.4</v>
      </c>
      <c r="E82" s="1"/>
      <c r="F82" s="5">
        <f t="shared" si="68"/>
        <v>4.2433970828384149E-4</v>
      </c>
      <c r="G82" s="1"/>
      <c r="H82" s="1">
        <f>SUM(OSRRefH22_16x_0)</f>
        <v>200</v>
      </c>
      <c r="I82" s="1"/>
      <c r="J82" s="5">
        <f t="shared" si="69"/>
        <v>4.4970094886900213E-3</v>
      </c>
      <c r="K82" s="1"/>
      <c r="L82" s="1">
        <f t="shared" si="70"/>
        <v>-175.6</v>
      </c>
      <c r="M82" s="1"/>
      <c r="N82" s="5">
        <f t="shared" si="71"/>
        <v>-0.878</v>
      </c>
      <c r="O82" s="14"/>
      <c r="P82" s="1">
        <f>SUM(OSRRefP22_16x_0)</f>
        <v>199.61</v>
      </c>
      <c r="Q82" s="1"/>
      <c r="R82" s="5">
        <f t="shared" si="72"/>
        <v>9.7506489278877952E-4</v>
      </c>
      <c r="S82" s="1"/>
      <c r="T82" s="1">
        <f>SUM(OSRRefT22_16x_0)</f>
        <v>400</v>
      </c>
      <c r="U82" s="1"/>
      <c r="V82" s="5">
        <f t="shared" si="73"/>
        <v>2.373619591856111E-3</v>
      </c>
      <c r="W82" s="1"/>
      <c r="X82" s="1">
        <f t="shared" si="74"/>
        <v>-200.39</v>
      </c>
      <c r="Y82" s="1"/>
      <c r="Z82" s="5">
        <f t="shared" si="75"/>
        <v>-0.50097499999999995</v>
      </c>
    </row>
    <row r="83" spans="1:26" s="24" customFormat="1" hidden="1" outlineLevel="2" x14ac:dyDescent="0.3">
      <c r="A83" s="29"/>
      <c r="B83" s="11" t="str">
        <f>CONCATENATE("          ", "6294", " - ", "TRAVEL OPERATIONAL")</f>
        <v xml:space="preserve">          6294 - TRAVEL OPERATIONAL</v>
      </c>
      <c r="C83" s="11"/>
      <c r="D83" s="6">
        <v>24.4</v>
      </c>
      <c r="E83" s="2"/>
      <c r="F83" s="7">
        <f t="shared" si="68"/>
        <v>4.2433970828384149E-4</v>
      </c>
      <c r="G83" s="2"/>
      <c r="H83" s="6"/>
      <c r="I83" s="2"/>
      <c r="J83" s="7">
        <f t="shared" si="69"/>
        <v>0</v>
      </c>
      <c r="K83" s="2"/>
      <c r="L83" s="6">
        <f t="shared" si="70"/>
        <v>24.4</v>
      </c>
      <c r="M83" s="2"/>
      <c r="N83" s="7">
        <f t="shared" si="71"/>
        <v>0</v>
      </c>
      <c r="O83" s="11"/>
      <c r="P83" s="6">
        <v>199.61</v>
      </c>
      <c r="Q83" s="2"/>
      <c r="R83" s="7">
        <f t="shared" si="72"/>
        <v>9.7506489278877952E-4</v>
      </c>
      <c r="S83" s="2"/>
      <c r="T83" s="6"/>
      <c r="U83" s="2"/>
      <c r="V83" s="7">
        <f t="shared" si="73"/>
        <v>0</v>
      </c>
      <c r="W83" s="2"/>
      <c r="X83" s="6">
        <f t="shared" si="74"/>
        <v>199.61</v>
      </c>
      <c r="Y83" s="2"/>
      <c r="Z83" s="7">
        <f t="shared" si="75"/>
        <v>0</v>
      </c>
    </row>
    <row r="84" spans="1:26" s="24" customFormat="1" hidden="1" outlineLevel="2" x14ac:dyDescent="0.3">
      <c r="A84" s="29"/>
      <c r="B84" s="11" t="str">
        <f>CONCATENATE("          ", "6298", " - ", "VEHICLE MILEAGE")</f>
        <v xml:space="preserve">          6298 - VEHICLE MILEAGE</v>
      </c>
      <c r="C84" s="11"/>
      <c r="D84" s="6"/>
      <c r="E84" s="2"/>
      <c r="F84" s="7">
        <f t="shared" si="68"/>
        <v>0</v>
      </c>
      <c r="G84" s="2"/>
      <c r="H84" s="6">
        <v>200</v>
      </c>
      <c r="I84" s="2"/>
      <c r="J84" s="7">
        <f t="shared" si="69"/>
        <v>4.4970094886900213E-3</v>
      </c>
      <c r="K84" s="2"/>
      <c r="L84" s="6">
        <f t="shared" si="70"/>
        <v>-200</v>
      </c>
      <c r="M84" s="2"/>
      <c r="N84" s="7">
        <f t="shared" si="71"/>
        <v>-1</v>
      </c>
      <c r="O84" s="11"/>
      <c r="P84" s="6"/>
      <c r="Q84" s="2"/>
      <c r="R84" s="7">
        <f t="shared" si="72"/>
        <v>0</v>
      </c>
      <c r="S84" s="2"/>
      <c r="T84" s="6">
        <v>400</v>
      </c>
      <c r="U84" s="2"/>
      <c r="V84" s="7">
        <f t="shared" si="73"/>
        <v>2.373619591856111E-3</v>
      </c>
      <c r="W84" s="2"/>
      <c r="X84" s="6">
        <f t="shared" si="74"/>
        <v>-400</v>
      </c>
      <c r="Y84" s="2"/>
      <c r="Z84" s="7">
        <f t="shared" si="75"/>
        <v>-1</v>
      </c>
    </row>
    <row r="85" spans="1:26" s="28" customFormat="1" outlineLevel="1" collapsed="1" x14ac:dyDescent="0.3">
      <c r="A85" s="27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SUM(OSRRefD22_17x_0)</f>
        <v>62.92</v>
      </c>
      <c r="E85" s="1"/>
      <c r="F85" s="5">
        <f t="shared" ref="F85:F86" si="76">IF(D$12=0,0,D85/D$12)</f>
        <v>1.0942399362794798E-3</v>
      </c>
      <c r="G85" s="1"/>
      <c r="H85" s="1">
        <f>SUM(OSRRefH22_17x_0)</f>
        <v>120</v>
      </c>
      <c r="I85" s="1"/>
      <c r="J85" s="5">
        <f t="shared" ref="J85:J86" si="77">IF(H$12=0,0,H85/H$12)</f>
        <v>2.6982056932140126E-3</v>
      </c>
      <c r="K85" s="1"/>
      <c r="L85" s="1">
        <f t="shared" ref="L85:L86" si="78">+D85-H85</f>
        <v>-57.08</v>
      </c>
      <c r="M85" s="1"/>
      <c r="N85" s="5">
        <f t="shared" ref="N85:N86" si="79">IF(H85=0,0,L85/H85)</f>
        <v>-0.47566666666666663</v>
      </c>
      <c r="O85" s="14"/>
      <c r="P85" s="1">
        <f>SUM(OSRRefP22_17x_0)</f>
        <v>246.51</v>
      </c>
      <c r="Q85" s="1"/>
      <c r="R85" s="5">
        <f t="shared" ref="R85:R86" si="80">IF(P$12=0,0,P85/P$12)</f>
        <v>1.2041643540972998E-3</v>
      </c>
      <c r="S85" s="1"/>
      <c r="T85" s="1">
        <f>SUM(OSRRefT22_17x_0)</f>
        <v>720</v>
      </c>
      <c r="U85" s="1"/>
      <c r="V85" s="5">
        <f t="shared" ref="V85:V86" si="81">IF(T$12=0,0,T85/T$12)</f>
        <v>4.2725152653410002E-3</v>
      </c>
      <c r="W85" s="1"/>
      <c r="X85" s="1">
        <f t="shared" ref="X85:X86" si="82">+P85-T85</f>
        <v>-473.49</v>
      </c>
      <c r="Y85" s="1"/>
      <c r="Z85" s="5">
        <f t="shared" ref="Z85:Z86" si="83">IF(T85=0,0,X85/T85)</f>
        <v>-0.65762500000000002</v>
      </c>
    </row>
    <row r="86" spans="1:26" s="24" customFormat="1" hidden="1" outlineLevel="2" x14ac:dyDescent="0.3">
      <c r="A86" s="29"/>
      <c r="B86" s="11" t="str">
        <f>CONCATENATE("          ", "6274", " - ", "UTILITIES")</f>
        <v xml:space="preserve">          6274 - UTILITIES</v>
      </c>
      <c r="C86" s="11"/>
      <c r="D86" s="6">
        <v>62.92</v>
      </c>
      <c r="E86" s="2"/>
      <c r="F86" s="7">
        <f t="shared" si="76"/>
        <v>1.0942399362794798E-3</v>
      </c>
      <c r="G86" s="2"/>
      <c r="H86" s="6">
        <v>120</v>
      </c>
      <c r="I86" s="2"/>
      <c r="J86" s="7">
        <f t="shared" si="77"/>
        <v>2.6982056932140126E-3</v>
      </c>
      <c r="K86" s="2"/>
      <c r="L86" s="6">
        <f t="shared" si="78"/>
        <v>-57.08</v>
      </c>
      <c r="M86" s="2"/>
      <c r="N86" s="7">
        <f t="shared" si="79"/>
        <v>-0.47566666666666663</v>
      </c>
      <c r="O86" s="11"/>
      <c r="P86" s="6">
        <v>246.51</v>
      </c>
      <c r="Q86" s="2"/>
      <c r="R86" s="7">
        <f t="shared" si="80"/>
        <v>1.2041643540972998E-3</v>
      </c>
      <c r="S86" s="2"/>
      <c r="T86" s="6">
        <v>720</v>
      </c>
      <c r="U86" s="2"/>
      <c r="V86" s="7">
        <f t="shared" si="81"/>
        <v>4.2725152653410002E-3</v>
      </c>
      <c r="W86" s="2"/>
      <c r="X86" s="6">
        <f t="shared" si="82"/>
        <v>-473.49</v>
      </c>
      <c r="Y86" s="2"/>
      <c r="Z86" s="7">
        <f t="shared" si="83"/>
        <v>-0.65762500000000002</v>
      </c>
    </row>
    <row r="87" spans="1:26" s="55" customFormat="1" x14ac:dyDescent="0.3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3">
      <c r="A88" s="10"/>
      <c r="B88" s="25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10"/>
      <c r="B90" s="26" t="s">
        <v>277</v>
      </c>
      <c r="C90" s="26"/>
      <c r="D90" s="20">
        <f>+D24-D26+D88</f>
        <v>11798.179999999997</v>
      </c>
      <c r="E90" s="13"/>
      <c r="F90" s="22">
        <f>IF(D$12=0,0,D90/D$12)</f>
        <v>0.20518181391312509</v>
      </c>
      <c r="G90" s="13"/>
      <c r="H90" s="20">
        <f>+H24-H26+H88</f>
        <v>-530.1122557692288</v>
      </c>
      <c r="I90" s="13"/>
      <c r="J90" s="22">
        <f>IF(H$12=0,0,H90/H$12)</f>
        <v>-1.1919599221325466E-2</v>
      </c>
      <c r="K90" s="16"/>
      <c r="L90" s="20">
        <f>+D90-H90</f>
        <v>12328.292255769225</v>
      </c>
      <c r="M90" s="16"/>
      <c r="N90" s="22">
        <f>IF(H90=0,0,L90/H90)</f>
        <v>-23.256003085384318</v>
      </c>
      <c r="O90" s="25"/>
      <c r="P90" s="20">
        <f>+P24-P26+P88</f>
        <v>4654.7699999999895</v>
      </c>
      <c r="Q90" s="13"/>
      <c r="R90" s="22">
        <f>IF(P$12=0,0,P90/P$12)</f>
        <v>2.2737852868124925E-2</v>
      </c>
      <c r="S90" s="13"/>
      <c r="T90" s="20">
        <f>+T24-T26+T88</f>
        <v>-39508.093670000002</v>
      </c>
      <c r="U90" s="13"/>
      <c r="V90" s="22">
        <f>IF(T$12=0,0,T90/T$12)</f>
        <v>-0.23444296292999603</v>
      </c>
      <c r="W90" s="16"/>
      <c r="X90" s="20">
        <f>+P90-T90</f>
        <v>44162.863669999992</v>
      </c>
      <c r="Y90" s="16"/>
      <c r="Z90" s="22">
        <f>IF(T90=0,0,X90/T90)</f>
        <v>-1.1178181371867744</v>
      </c>
    </row>
    <row r="91" spans="1:26" x14ac:dyDescent="0.3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52"/>
      <c r="B92" s="10" t="s">
        <v>128</v>
      </c>
      <c r="C92" s="10"/>
      <c r="D92" s="4">
        <v>7106.81</v>
      </c>
      <c r="E92" s="4"/>
      <c r="F92" s="12">
        <f>IF(D$12=0,0,D92/D$12)</f>
        <v>0.12359433123888065</v>
      </c>
      <c r="G92" s="4"/>
      <c r="H92" s="4">
        <v>6311</v>
      </c>
      <c r="I92" s="4"/>
      <c r="J92" s="12">
        <f>IF(H$12=0,0,H92/H$12)</f>
        <v>0.14190313441561361</v>
      </c>
      <c r="K92" s="4"/>
      <c r="L92" s="4">
        <f>+D92-H92</f>
        <v>795.8100000000004</v>
      </c>
      <c r="M92" s="4"/>
      <c r="N92" s="12">
        <f>IF(H92=0,0,L92/H92)</f>
        <v>0.12609887498019337</v>
      </c>
      <c r="O92" s="10"/>
      <c r="P92" s="4">
        <v>24641.66</v>
      </c>
      <c r="Q92" s="4"/>
      <c r="R92" s="12">
        <f>IF(P$12=0,0,P92/P$12)</f>
        <v>0.12037081091146513</v>
      </c>
      <c r="S92" s="4"/>
      <c r="T92" s="4">
        <v>21819</v>
      </c>
      <c r="U92" s="4"/>
      <c r="V92" s="12">
        <f>IF(T$12=0,0,T92/T$12)</f>
        <v>0.12947501468677122</v>
      </c>
      <c r="W92" s="4"/>
      <c r="X92" s="4">
        <f>+P92-T92</f>
        <v>2822.66</v>
      </c>
      <c r="Y92" s="4"/>
      <c r="Z92" s="12">
        <f>IF(T92=0,0,X92/T92)</f>
        <v>0.12936706540171408</v>
      </c>
    </row>
    <row r="93" spans="1:26" x14ac:dyDescent="0.3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35">
      <c r="A94" s="10"/>
      <c r="B94" s="26" t="s">
        <v>126</v>
      </c>
      <c r="C94" s="26"/>
      <c r="D94" s="31">
        <f>+D90-D92</f>
        <v>4691.3699999999963</v>
      </c>
      <c r="E94" s="13"/>
      <c r="F94" s="30">
        <f>IF(D$12=0,0,D94/D$12)</f>
        <v>8.1587482674244427E-2</v>
      </c>
      <c r="G94" s="13"/>
      <c r="H94" s="31">
        <f>+H90-H92</f>
        <v>-6841.1122557692288</v>
      </c>
      <c r="I94" s="13"/>
      <c r="J94" s="30">
        <f>IF(H$12=0,0,H94/H$12)</f>
        <v>-0.15382273363693907</v>
      </c>
      <c r="K94" s="16"/>
      <c r="L94" s="31">
        <f>D94-H94</f>
        <v>11532.482255769224</v>
      </c>
      <c r="M94" s="16"/>
      <c r="N94" s="30">
        <f>IF(H94=0,0,L94/H94)</f>
        <v>-1.6857612950355669</v>
      </c>
      <c r="O94" s="25"/>
      <c r="P94" s="31">
        <f>+P90-P92</f>
        <v>-19986.89000000001</v>
      </c>
      <c r="Q94" s="13"/>
      <c r="R94" s="30">
        <f>IF(P$12=0,0,P94/P$12)</f>
        <v>-9.7632958043340198E-2</v>
      </c>
      <c r="S94" s="13"/>
      <c r="T94" s="31">
        <f>+T90-T92</f>
        <v>-61327.093670000002</v>
      </c>
      <c r="U94" s="13"/>
      <c r="V94" s="30">
        <f>IF(T$12=0,0,T94/T$12)</f>
        <v>-0.36391797761676725</v>
      </c>
      <c r="W94" s="16"/>
      <c r="X94" s="31">
        <f>P94-T94</f>
        <v>41340.203669999988</v>
      </c>
      <c r="Y94" s="16"/>
      <c r="Z94" s="30">
        <f>IF(T94=0,0,X94/T94)</f>
        <v>-0.67409363783731358</v>
      </c>
    </row>
    <row r="95" spans="1:26" ht="15" thickTop="1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35">
      <c r="A97" s="10"/>
      <c r="B97" s="26" t="s">
        <v>294</v>
      </c>
      <c r="C97" s="26"/>
      <c r="D97" s="35">
        <f>SUM(D94:D96)</f>
        <v>4691.3699999999963</v>
      </c>
      <c r="E97" s="13"/>
      <c r="F97" s="34">
        <f>IF(D$12=0,0,D97/D$12)</f>
        <v>8.1587482674244427E-2</v>
      </c>
      <c r="G97" s="13"/>
      <c r="H97" s="35">
        <f>SUM(H94:H96)</f>
        <v>-6841.1122557692288</v>
      </c>
      <c r="I97" s="13"/>
      <c r="J97" s="34">
        <f>IF(H$12=0,0,H97/H$12)</f>
        <v>-0.15382273363693907</v>
      </c>
      <c r="K97" s="16"/>
      <c r="L97" s="35">
        <f>+D97-H97</f>
        <v>11532.482255769224</v>
      </c>
      <c r="M97" s="16"/>
      <c r="N97" s="34">
        <f>IF(H97=0,0,L97/H97)</f>
        <v>-1.6857612950355669</v>
      </c>
      <c r="O97" s="25"/>
      <c r="P97" s="35">
        <f>SUM(P94:P96)</f>
        <v>-19986.89000000001</v>
      </c>
      <c r="Q97" s="13"/>
      <c r="R97" s="34">
        <f>IF(P$12=0,0,P97/P$12)</f>
        <v>-9.7632958043340198E-2</v>
      </c>
      <c r="S97" s="13"/>
      <c r="T97" s="35">
        <f>SUM(T94:T96)</f>
        <v>-61327.093670000002</v>
      </c>
      <c r="U97" s="13"/>
      <c r="V97" s="34">
        <f>IF(T$12=0,0,T97/T$12)</f>
        <v>-0.36391797761676725</v>
      </c>
      <c r="W97" s="16"/>
      <c r="X97" s="35">
        <f>+P97-T97</f>
        <v>41340.203669999988</v>
      </c>
      <c r="Y97" s="16"/>
      <c r="Z97" s="34">
        <f>IF(T97=0,0,X97/T97)</f>
        <v>-0.67409363783731358</v>
      </c>
    </row>
    <row r="98" spans="1:26" ht="15" thickTop="1" x14ac:dyDescent="0.3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3">
      <c r="A99" s="9"/>
      <c r="B99" s="61">
        <v>44575.842125659721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3">
      <c r="A100" s="9"/>
      <c r="B100" s="62" t="s">
        <v>56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">
      <c r="A101" s="9"/>
      <c r="B101" s="53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","327", " - ", "C-Store Vending Machine(s)")</f>
        <v>Department 327 - C-Store Vending Machine(s)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70.75</v>
      </c>
      <c r="E12" s="4"/>
      <c r="F12" s="12"/>
      <c r="G12" s="4"/>
      <c r="H12" s="4">
        <f>SUM(OSRRefH13x_0)</f>
        <v>100</v>
      </c>
      <c r="I12" s="4"/>
      <c r="J12" s="12"/>
      <c r="K12" s="4"/>
      <c r="L12" s="4">
        <f t="shared" ref="L12:L15" si="0">+D12-H12</f>
        <v>-29.25</v>
      </c>
      <c r="M12" s="4"/>
      <c r="N12" s="12">
        <f t="shared" ref="N12:N15" si="1">IF(H12=0,0,L12/H12)</f>
        <v>-0.29249999999999998</v>
      </c>
      <c r="O12" s="10"/>
      <c r="P12" s="4">
        <f>SUM(OSRRefP13x_0)</f>
        <v>698.72</v>
      </c>
      <c r="Q12" s="4"/>
      <c r="R12" s="12"/>
      <c r="S12" s="4"/>
      <c r="T12" s="4">
        <f>SUM(OSRRefT13x_0)</f>
        <v>275</v>
      </c>
      <c r="U12" s="4"/>
      <c r="V12" s="12"/>
      <c r="W12" s="4"/>
      <c r="X12" s="4">
        <f t="shared" ref="X12:X15" si="2">+P12-T12</f>
        <v>423.72</v>
      </c>
      <c r="Y12" s="4"/>
      <c r="Z12" s="12">
        <f t="shared" ref="Z12:Z15" si="3">IF(T12=0,0,X12/T12)</f>
        <v>1.5408000000000002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100</v>
      </c>
      <c r="I13" s="2"/>
      <c r="J13" s="19"/>
      <c r="K13" s="2"/>
      <c r="L13" s="2">
        <f t="shared" si="0"/>
        <v>-100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275</v>
      </c>
      <c r="U13" s="2"/>
      <c r="V13" s="19"/>
      <c r="W13" s="2"/>
      <c r="X13" s="2">
        <f t="shared" si="2"/>
        <v>-275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--70.75</f>
        <v>70.75</v>
      </c>
      <c r="E14" s="2"/>
      <c r="F14" s="19"/>
      <c r="G14" s="2"/>
      <c r="H14" s="2"/>
      <c r="I14" s="2"/>
      <c r="J14" s="19"/>
      <c r="K14" s="2"/>
      <c r="L14" s="2">
        <f t="shared" si="0"/>
        <v>70.75</v>
      </c>
      <c r="M14" s="2"/>
      <c r="N14" s="19">
        <f t="shared" si="1"/>
        <v>0</v>
      </c>
      <c r="O14" s="11"/>
      <c r="P14" s="2">
        <f>--698.72</f>
        <v>698.72</v>
      </c>
      <c r="Q14" s="2"/>
      <c r="R14" s="19"/>
      <c r="S14" s="2"/>
      <c r="T14" s="2"/>
      <c r="U14" s="2"/>
      <c r="V14" s="19"/>
      <c r="W14" s="2"/>
      <c r="X14" s="2">
        <f t="shared" si="2"/>
        <v>698.72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11</v>
      </c>
      <c r="E17" s="4"/>
      <c r="F17" s="12">
        <f t="shared" ref="F17:F20" si="4">IF(D$12=0,0,D17/D$12)</f>
        <v>0.15547703180212014</v>
      </c>
      <c r="G17" s="4"/>
      <c r="H17" s="4">
        <f>SUM(OSRRefH16x_0)</f>
        <v>50</v>
      </c>
      <c r="I17" s="4"/>
      <c r="J17" s="12">
        <f t="shared" ref="J17:J20" si="5">IF(H$12=0,0,H17/H$12)</f>
        <v>0.5</v>
      </c>
      <c r="K17" s="4"/>
      <c r="L17" s="4">
        <f t="shared" ref="L17:L20" si="6">+D17-H17</f>
        <v>-39</v>
      </c>
      <c r="M17" s="4"/>
      <c r="N17" s="12">
        <f t="shared" ref="N17:N20" si="7">IF(H17=0,0,L17/H17)</f>
        <v>-0.78</v>
      </c>
      <c r="O17" s="10"/>
      <c r="P17" s="4">
        <f>SUM(OSRRefP16x_0)</f>
        <v>-8.7999999999999972</v>
      </c>
      <c r="Q17" s="4"/>
      <c r="R17" s="12">
        <f t="shared" ref="R17:R20" si="8">IF(P$12=0,0,P17/P$12)</f>
        <v>-1.2594458438287149E-2</v>
      </c>
      <c r="S17" s="4"/>
      <c r="T17" s="4">
        <f>SUM(OSRRefT16x_0)</f>
        <v>138</v>
      </c>
      <c r="U17" s="4"/>
      <c r="V17" s="12">
        <f t="shared" ref="V17:V20" si="9">IF(T$12=0,0,T17/T$12)</f>
        <v>0.50181818181818183</v>
      </c>
      <c r="W17" s="4"/>
      <c r="X17" s="4">
        <f t="shared" ref="X17:X20" si="10">+P17-T17</f>
        <v>-146.80000000000001</v>
      </c>
      <c r="Y17" s="4"/>
      <c r="Z17" s="12">
        <f t="shared" ref="Z17:Z20" si="11">IF(T17=0,0,X17/T17)</f>
        <v>-1.0637681159420291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50</v>
      </c>
      <c r="I18" s="2"/>
      <c r="J18" s="19">
        <f t="shared" si="5"/>
        <v>0.5</v>
      </c>
      <c r="K18" s="2"/>
      <c r="L18" s="2">
        <f t="shared" si="6"/>
        <v>-50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138</v>
      </c>
      <c r="U18" s="2"/>
      <c r="V18" s="19">
        <f t="shared" si="9"/>
        <v>0.50181818181818183</v>
      </c>
      <c r="W18" s="2"/>
      <c r="X18" s="2">
        <f t="shared" si="10"/>
        <v>-138</v>
      </c>
      <c r="Y18" s="2"/>
      <c r="Z18" s="19">
        <f t="shared" si="11"/>
        <v>-1</v>
      </c>
    </row>
    <row r="19" spans="1:26" s="24" customFormat="1" hidden="1" outlineLevel="1" x14ac:dyDescent="0.3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45</v>
      </c>
      <c r="Q19" s="2"/>
      <c r="R19" s="19">
        <f t="shared" si="8"/>
        <v>6.4403480650332037E-2</v>
      </c>
      <c r="S19" s="2"/>
      <c r="T19" s="2"/>
      <c r="U19" s="2"/>
      <c r="V19" s="19">
        <f t="shared" si="9"/>
        <v>0</v>
      </c>
      <c r="W19" s="2"/>
      <c r="X19" s="2">
        <f t="shared" si="10"/>
        <v>45</v>
      </c>
      <c r="Y19" s="2"/>
      <c r="Z19" s="19">
        <f t="shared" si="11"/>
        <v>0</v>
      </c>
    </row>
    <row r="20" spans="1:26" s="24" customFormat="1" hidden="1" outlineLevel="1" x14ac:dyDescent="0.3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11</v>
      </c>
      <c r="E20" s="2"/>
      <c r="F20" s="19">
        <f t="shared" si="4"/>
        <v>0.15547703180212014</v>
      </c>
      <c r="G20" s="2"/>
      <c r="H20" s="2"/>
      <c r="I20" s="2"/>
      <c r="J20" s="19">
        <f t="shared" si="5"/>
        <v>0</v>
      </c>
      <c r="K20" s="2"/>
      <c r="L20" s="2">
        <f t="shared" si="6"/>
        <v>11</v>
      </c>
      <c r="M20" s="2"/>
      <c r="N20" s="19">
        <f t="shared" si="7"/>
        <v>0</v>
      </c>
      <c r="O20" s="11"/>
      <c r="P20" s="2">
        <v>-53.8</v>
      </c>
      <c r="Q20" s="2"/>
      <c r="R20" s="19">
        <f t="shared" si="8"/>
        <v>-7.6997939088619183E-2</v>
      </c>
      <c r="S20" s="2"/>
      <c r="T20" s="2"/>
      <c r="U20" s="2"/>
      <c r="V20" s="19">
        <f t="shared" si="9"/>
        <v>0</v>
      </c>
      <c r="W20" s="2"/>
      <c r="X20" s="2">
        <f t="shared" si="10"/>
        <v>-53.8</v>
      </c>
      <c r="Y20" s="2"/>
      <c r="Z20" s="19">
        <f t="shared" si="11"/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108</v>
      </c>
      <c r="C22" s="26"/>
      <c r="D22" s="20">
        <f>D12-D17</f>
        <v>59.75</v>
      </c>
      <c r="E22" s="13"/>
      <c r="F22" s="22">
        <f>IF(D$12=0,0,D22/D$12)</f>
        <v>0.84452296819787986</v>
      </c>
      <c r="G22" s="13"/>
      <c r="H22" s="20">
        <f>H12-H17</f>
        <v>50</v>
      </c>
      <c r="I22" s="13"/>
      <c r="J22" s="22">
        <f>IF(H$12=0,0,H22/H$12)</f>
        <v>0.5</v>
      </c>
      <c r="K22" s="16"/>
      <c r="L22" s="20">
        <f>+D22-H22</f>
        <v>9.75</v>
      </c>
      <c r="M22" s="16"/>
      <c r="N22" s="22">
        <f>IF(H22=0,0,L22/H22)</f>
        <v>0.19500000000000001</v>
      </c>
      <c r="O22" s="25"/>
      <c r="P22" s="20">
        <f>P12-P17</f>
        <v>707.52</v>
      </c>
      <c r="Q22" s="13"/>
      <c r="R22" s="22">
        <f>IF(P$12=0,0,P22/P$12)</f>
        <v>1.0125944584382871</v>
      </c>
      <c r="S22" s="13"/>
      <c r="T22" s="20">
        <f>T12-T17</f>
        <v>137</v>
      </c>
      <c r="U22" s="13"/>
      <c r="V22" s="22">
        <f>IF(T$12=0,0,T22/T$12)</f>
        <v>0.49818181818181817</v>
      </c>
      <c r="W22" s="16"/>
      <c r="X22" s="20">
        <f>+P22-T22</f>
        <v>570.52</v>
      </c>
      <c r="Y22" s="16"/>
      <c r="Z22" s="22">
        <f>IF(T22=0,0,X22/T22)</f>
        <v>4.1643795620437958</v>
      </c>
    </row>
    <row r="23" spans="1:26" x14ac:dyDescent="0.3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295</v>
      </c>
      <c r="C24" s="10"/>
      <c r="D24" s="21">
        <f>SUM(OSRRefD22x_0)</f>
        <v>44.6</v>
      </c>
      <c r="E24" s="21"/>
      <c r="F24" s="32">
        <f t="shared" ref="F24:F26" si="12">IF(D$12=0,0,D24/D$12)</f>
        <v>0.63038869257950536</v>
      </c>
      <c r="G24" s="21"/>
      <c r="H24" s="21">
        <f>SUM(OSRRefH22x_0)</f>
        <v>9</v>
      </c>
      <c r="I24" s="21"/>
      <c r="J24" s="32">
        <f t="shared" ref="J24:J26" si="13">IF(H$12=0,0,H24/H$12)</f>
        <v>0.09</v>
      </c>
      <c r="K24" s="4"/>
      <c r="L24" s="21">
        <f t="shared" ref="L24:L26" si="14">+D24-H24</f>
        <v>35.6</v>
      </c>
      <c r="M24" s="4"/>
      <c r="N24" s="32">
        <f t="shared" ref="N24:N26" si="15">IF(H24=0,0,L24/H24)</f>
        <v>3.9555555555555557</v>
      </c>
      <c r="O24" s="10"/>
      <c r="P24" s="21">
        <f>SUM(OSRRefP22x_0)</f>
        <v>366.65</v>
      </c>
      <c r="Q24" s="21"/>
      <c r="R24" s="32">
        <f t="shared" ref="R24:R26" si="16">IF(P$12=0,0,P24/P$12)</f>
        <v>0.52474524845431636</v>
      </c>
      <c r="S24" s="21"/>
      <c r="T24" s="21">
        <f>SUM(OSRRefT22x_0)</f>
        <v>24.75</v>
      </c>
      <c r="U24" s="21"/>
      <c r="V24" s="32">
        <f t="shared" ref="V24:V26" si="17">IF(T$12=0,0,T24/T$12)</f>
        <v>0.09</v>
      </c>
      <c r="W24" s="4"/>
      <c r="X24" s="21">
        <f t="shared" ref="X24:X26" si="18">+P24-T24</f>
        <v>341.9</v>
      </c>
      <c r="Y24" s="4"/>
      <c r="Z24" s="32">
        <f t="shared" ref="Z24:Z26" si="19">IF(T24=0,0,X24/T24)</f>
        <v>13.814141414141414</v>
      </c>
    </row>
    <row r="25" spans="1:26" s="28" customFormat="1" outlineLevel="1" collapsed="1" x14ac:dyDescent="0.3">
      <c r="A25" s="27"/>
      <c r="B25" s="14" t="str">
        <f>CONCATENATE("     ","Bank/card Fees                                    ")</f>
        <v xml:space="preserve">     Bank/card Fees                                    </v>
      </c>
      <c r="C25" s="14"/>
      <c r="D25" s="1">
        <f>SUM(OSRRefD22_0x_0)</f>
        <v>44.6</v>
      </c>
      <c r="E25" s="1"/>
      <c r="F25" s="5">
        <f t="shared" si="12"/>
        <v>0.63038869257950536</v>
      </c>
      <c r="G25" s="1"/>
      <c r="H25" s="1">
        <f>SUM(OSRRefH22_0x_0)</f>
        <v>9</v>
      </c>
      <c r="I25" s="1"/>
      <c r="J25" s="5">
        <f t="shared" si="13"/>
        <v>0.09</v>
      </c>
      <c r="K25" s="1"/>
      <c r="L25" s="1">
        <f t="shared" si="14"/>
        <v>35.6</v>
      </c>
      <c r="M25" s="1"/>
      <c r="N25" s="5">
        <f t="shared" si="15"/>
        <v>3.9555555555555557</v>
      </c>
      <c r="O25" s="14"/>
      <c r="P25" s="1">
        <f>SUM(OSRRefP22_0x_0)</f>
        <v>366.65</v>
      </c>
      <c r="Q25" s="1"/>
      <c r="R25" s="5">
        <f t="shared" si="16"/>
        <v>0.52474524845431636</v>
      </c>
      <c r="S25" s="1"/>
      <c r="T25" s="1">
        <f>SUM(OSRRefT22_0x_0)</f>
        <v>24.75</v>
      </c>
      <c r="U25" s="1"/>
      <c r="V25" s="5">
        <f t="shared" si="17"/>
        <v>0.09</v>
      </c>
      <c r="W25" s="1"/>
      <c r="X25" s="1">
        <f t="shared" si="18"/>
        <v>341.9</v>
      </c>
      <c r="Y25" s="1"/>
      <c r="Z25" s="5">
        <f t="shared" si="19"/>
        <v>13.814141414141414</v>
      </c>
    </row>
    <row r="26" spans="1:26" s="24" customFormat="1" hidden="1" outlineLevel="2" x14ac:dyDescent="0.3">
      <c r="A26" s="29"/>
      <c r="B26" s="11" t="str">
        <f>CONCATENATE("          ", "6381", " - ", "BANK/CREDIT CARD FEES")</f>
        <v xml:space="preserve">          6381 - BANK/CREDIT CARD FEES</v>
      </c>
      <c r="C26" s="11"/>
      <c r="D26" s="6">
        <v>44.6</v>
      </c>
      <c r="E26" s="2"/>
      <c r="F26" s="7">
        <f t="shared" si="12"/>
        <v>0.63038869257950536</v>
      </c>
      <c r="G26" s="2"/>
      <c r="H26" s="6">
        <v>9</v>
      </c>
      <c r="I26" s="2"/>
      <c r="J26" s="7">
        <f t="shared" si="13"/>
        <v>0.09</v>
      </c>
      <c r="K26" s="2"/>
      <c r="L26" s="6">
        <f t="shared" si="14"/>
        <v>35.6</v>
      </c>
      <c r="M26" s="2"/>
      <c r="N26" s="7">
        <f t="shared" si="15"/>
        <v>3.9555555555555557</v>
      </c>
      <c r="O26" s="11"/>
      <c r="P26" s="6">
        <v>366.65</v>
      </c>
      <c r="Q26" s="2"/>
      <c r="R26" s="7">
        <f t="shared" si="16"/>
        <v>0.52474524845431636</v>
      </c>
      <c r="S26" s="2"/>
      <c r="T26" s="6">
        <v>24.75</v>
      </c>
      <c r="U26" s="2"/>
      <c r="V26" s="7">
        <f t="shared" si="17"/>
        <v>0.09</v>
      </c>
      <c r="W26" s="2"/>
      <c r="X26" s="6">
        <f t="shared" si="18"/>
        <v>341.9</v>
      </c>
      <c r="Y26" s="2"/>
      <c r="Z26" s="7">
        <f t="shared" si="19"/>
        <v>13.814141414141414</v>
      </c>
    </row>
    <row r="27" spans="1:26" s="55" customFormat="1" x14ac:dyDescent="0.3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5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277</v>
      </c>
      <c r="C30" s="26"/>
      <c r="D30" s="20">
        <f>+D22-D24+D28</f>
        <v>15.149999999999999</v>
      </c>
      <c r="E30" s="13"/>
      <c r="F30" s="22">
        <f>IF(D$12=0,0,D30/D$12)</f>
        <v>0.21413427561837453</v>
      </c>
      <c r="G30" s="13"/>
      <c r="H30" s="20">
        <f>+H22-H24+H28</f>
        <v>41</v>
      </c>
      <c r="I30" s="13"/>
      <c r="J30" s="22">
        <f>IF(H$12=0,0,H30/H$12)</f>
        <v>0.41</v>
      </c>
      <c r="K30" s="16"/>
      <c r="L30" s="20">
        <f>+D30-H30</f>
        <v>-25.85</v>
      </c>
      <c r="M30" s="16"/>
      <c r="N30" s="22">
        <f>IF(H30=0,0,L30/H30)</f>
        <v>-0.63048780487804879</v>
      </c>
      <c r="O30" s="25"/>
      <c r="P30" s="20">
        <f>+P22-P24+P28</f>
        <v>340.87</v>
      </c>
      <c r="Q30" s="13"/>
      <c r="R30" s="22">
        <f>IF(P$12=0,0,P30/P$12)</f>
        <v>0.48784920998397069</v>
      </c>
      <c r="S30" s="13"/>
      <c r="T30" s="20">
        <f>+T22-T24+T28</f>
        <v>112.25</v>
      </c>
      <c r="U30" s="13"/>
      <c r="V30" s="22">
        <f>IF(T$12=0,0,T30/T$12)</f>
        <v>0.4081818181818182</v>
      </c>
      <c r="W30" s="16"/>
      <c r="X30" s="20">
        <f>+P30-T30</f>
        <v>228.62</v>
      </c>
      <c r="Y30" s="16"/>
      <c r="Z30" s="22">
        <f>IF(T30=0,0,X30/T30)</f>
        <v>2.0367037861915369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2"/>
      <c r="B32" s="10" t="s">
        <v>128</v>
      </c>
      <c r="C32" s="10"/>
      <c r="D32" s="4">
        <v>9.31</v>
      </c>
      <c r="E32" s="4"/>
      <c r="F32" s="12">
        <f>IF(D$12=0,0,D32/D$12)</f>
        <v>0.13159010600706714</v>
      </c>
      <c r="G32" s="4"/>
      <c r="H32" s="4">
        <v>14</v>
      </c>
      <c r="I32" s="4"/>
      <c r="J32" s="12">
        <f>IF(H$12=0,0,H32/H$12)</f>
        <v>0.14000000000000001</v>
      </c>
      <c r="K32" s="4"/>
      <c r="L32" s="4">
        <f>+D32-H32</f>
        <v>-4.6899999999999995</v>
      </c>
      <c r="M32" s="4"/>
      <c r="N32" s="12">
        <f>IF(H32=0,0,L32/H32)</f>
        <v>-0.33499999999999996</v>
      </c>
      <c r="O32" s="10"/>
      <c r="P32" s="4">
        <v>84.11</v>
      </c>
      <c r="Q32" s="4"/>
      <c r="R32" s="12">
        <f>IF(P$12=0,0,P32/P$12)</f>
        <v>0.12037726127776505</v>
      </c>
      <c r="S32" s="4"/>
      <c r="T32" s="4">
        <v>36</v>
      </c>
      <c r="U32" s="4"/>
      <c r="V32" s="12">
        <f>IF(T$12=0,0,T32/T$12)</f>
        <v>0.13090909090909092</v>
      </c>
      <c r="W32" s="4"/>
      <c r="X32" s="4">
        <f>+P32-T32</f>
        <v>48.11</v>
      </c>
      <c r="Y32" s="4"/>
      <c r="Z32" s="12">
        <f>IF(T32=0,0,X32/T32)</f>
        <v>1.3363888888888888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6" t="s">
        <v>126</v>
      </c>
      <c r="C34" s="26"/>
      <c r="D34" s="31">
        <f>+D30-D32</f>
        <v>5.8399999999999981</v>
      </c>
      <c r="E34" s="13"/>
      <c r="F34" s="30">
        <f>IF(D$12=0,0,D34/D$12)</f>
        <v>8.2544169611307394E-2</v>
      </c>
      <c r="G34" s="13"/>
      <c r="H34" s="31">
        <f>+H30-H32</f>
        <v>27</v>
      </c>
      <c r="I34" s="13"/>
      <c r="J34" s="30">
        <f>IF(H$12=0,0,H34/H$12)</f>
        <v>0.27</v>
      </c>
      <c r="K34" s="16"/>
      <c r="L34" s="31">
        <f>D34-H34</f>
        <v>-21.160000000000004</v>
      </c>
      <c r="M34" s="16"/>
      <c r="N34" s="30">
        <f>IF(H34=0,0,L34/H34)</f>
        <v>-0.78370370370370379</v>
      </c>
      <c r="O34" s="25"/>
      <c r="P34" s="31">
        <f>+P30-P32</f>
        <v>256.76</v>
      </c>
      <c r="Q34" s="13"/>
      <c r="R34" s="30">
        <f>IF(P$12=0,0,P34/P$12)</f>
        <v>0.36747194870620559</v>
      </c>
      <c r="S34" s="13"/>
      <c r="T34" s="31">
        <f>+T30-T32</f>
        <v>76.25</v>
      </c>
      <c r="U34" s="13"/>
      <c r="V34" s="30">
        <f>IF(T$12=0,0,T34/T$12)</f>
        <v>0.27727272727272728</v>
      </c>
      <c r="W34" s="16"/>
      <c r="X34" s="31">
        <f>P34-T34</f>
        <v>180.51</v>
      </c>
      <c r="Y34" s="16"/>
      <c r="Z34" s="30">
        <f>IF(T34=0,0,X34/T34)</f>
        <v>2.3673442622950818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6" t="s">
        <v>294</v>
      </c>
      <c r="C37" s="26"/>
      <c r="D37" s="35">
        <f>SUM(D34:D36)</f>
        <v>5.8399999999999981</v>
      </c>
      <c r="E37" s="13"/>
      <c r="F37" s="34">
        <f>IF(D$12=0,0,D37/D$12)</f>
        <v>8.2544169611307394E-2</v>
      </c>
      <c r="G37" s="13"/>
      <c r="H37" s="35">
        <f>SUM(H34:H36)</f>
        <v>27</v>
      </c>
      <c r="I37" s="13"/>
      <c r="J37" s="34">
        <f>IF(H$12=0,0,H37/H$12)</f>
        <v>0.27</v>
      </c>
      <c r="K37" s="16"/>
      <c r="L37" s="35">
        <f>+D37-H37</f>
        <v>-21.160000000000004</v>
      </c>
      <c r="M37" s="16"/>
      <c r="N37" s="34">
        <f>IF(H37=0,0,L37/H37)</f>
        <v>-0.78370370370370379</v>
      </c>
      <c r="O37" s="25"/>
      <c r="P37" s="35">
        <f>SUM(P34:P36)</f>
        <v>256.76</v>
      </c>
      <c r="Q37" s="13"/>
      <c r="R37" s="34">
        <f>IF(P$12=0,0,P37/P$12)</f>
        <v>0.36747194870620559</v>
      </c>
      <c r="S37" s="13"/>
      <c r="T37" s="35">
        <f>SUM(T34:T36)</f>
        <v>76.25</v>
      </c>
      <c r="U37" s="13"/>
      <c r="V37" s="34">
        <f>IF(T$12=0,0,T37/T$12)</f>
        <v>0.27727272727272728</v>
      </c>
      <c r="W37" s="16"/>
      <c r="X37" s="35">
        <f>+P37-T37</f>
        <v>180.51</v>
      </c>
      <c r="Y37" s="16"/>
      <c r="Z37" s="34">
        <f>IF(T37=0,0,X37/T37)</f>
        <v>2.3673442622950818</v>
      </c>
    </row>
    <row r="38" spans="1:26" ht="15" thickTop="1" x14ac:dyDescent="0.3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1">
        <v>44575.842125659721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2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A41" s="9"/>
      <c r="B41" s="53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2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200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1068737.23</v>
      </c>
      <c r="E12" s="4"/>
      <c r="F12" s="12"/>
      <c r="G12" s="4"/>
      <c r="H12" s="4">
        <f>SUM(OSRRefH13x_0)</f>
        <v>973503</v>
      </c>
      <c r="I12" s="4"/>
      <c r="J12" s="12"/>
      <c r="K12" s="4"/>
      <c r="L12" s="4">
        <f t="shared" ref="L12:L18" si="0">+D12-H12</f>
        <v>95234.229999999981</v>
      </c>
      <c r="M12" s="4"/>
      <c r="N12" s="12">
        <f t="shared" ref="N12:N18" si="1">IF(H12=0,0,L12/H12)</f>
        <v>9.7826334382123098E-2</v>
      </c>
      <c r="O12" s="10"/>
      <c r="P12" s="4">
        <f>SUM(OSRRefP13x_0)</f>
        <v>6381857.9000000004</v>
      </c>
      <c r="Q12" s="4"/>
      <c r="R12" s="12"/>
      <c r="S12" s="4"/>
      <c r="T12" s="4">
        <f>SUM(OSRRefT13x_0)</f>
        <v>5015748</v>
      </c>
      <c r="U12" s="4"/>
      <c r="V12" s="12"/>
      <c r="W12" s="4"/>
      <c r="X12" s="4">
        <f t="shared" ref="X12:X18" si="2">+P12-T12</f>
        <v>1366109.9000000004</v>
      </c>
      <c r="Y12" s="4"/>
      <c r="Z12" s="12">
        <f t="shared" ref="Z12:Z18" si="3">IF(T12=0,0,X12/T12)</f>
        <v>0.27236414189867603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25526</v>
      </c>
      <c r="I13" s="2"/>
      <c r="J13" s="19"/>
      <c r="K13" s="2"/>
      <c r="L13" s="2">
        <f t="shared" si="0"/>
        <v>-25526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151709</v>
      </c>
      <c r="U13" s="2"/>
      <c r="V13" s="19"/>
      <c r="W13" s="2"/>
      <c r="X13" s="2">
        <f t="shared" si="2"/>
        <v>-151709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--19631.62</f>
        <v>19631.62</v>
      </c>
      <c r="E14" s="2"/>
      <c r="F14" s="19"/>
      <c r="G14" s="2"/>
      <c r="H14" s="2"/>
      <c r="I14" s="2"/>
      <c r="J14" s="19"/>
      <c r="K14" s="2"/>
      <c r="L14" s="2">
        <f t="shared" si="0"/>
        <v>19631.62</v>
      </c>
      <c r="M14" s="2"/>
      <c r="N14" s="19">
        <f t="shared" si="1"/>
        <v>0</v>
      </c>
      <c r="O14" s="11"/>
      <c r="P14" s="2">
        <f>--146982.79</f>
        <v>146982.79</v>
      </c>
      <c r="Q14" s="2"/>
      <c r="R14" s="19"/>
      <c r="S14" s="2"/>
      <c r="T14" s="2"/>
      <c r="U14" s="2"/>
      <c r="V14" s="19"/>
      <c r="W14" s="2"/>
      <c r="X14" s="2">
        <f t="shared" si="2"/>
        <v>146982.79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--1964.44</f>
        <v>1964.44</v>
      </c>
      <c r="E15" s="2"/>
      <c r="F15" s="19"/>
      <c r="G15" s="2"/>
      <c r="H15" s="2"/>
      <c r="I15" s="2"/>
      <c r="J15" s="19"/>
      <c r="K15" s="2"/>
      <c r="L15" s="2">
        <f t="shared" si="0"/>
        <v>1964.44</v>
      </c>
      <c r="M15" s="2"/>
      <c r="N15" s="19">
        <f t="shared" si="1"/>
        <v>0</v>
      </c>
      <c r="O15" s="11"/>
      <c r="P15" s="2">
        <f>--9963.45</f>
        <v>9963.4500000000007</v>
      </c>
      <c r="Q15" s="2"/>
      <c r="R15" s="19"/>
      <c r="S15" s="2"/>
      <c r="T15" s="2"/>
      <c r="U15" s="2"/>
      <c r="V15" s="19"/>
      <c r="W15" s="2"/>
      <c r="X15" s="2">
        <f t="shared" si="2"/>
        <v>9963.4500000000007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947977</v>
      </c>
      <c r="I16" s="2"/>
      <c r="J16" s="19"/>
      <c r="K16" s="2"/>
      <c r="L16" s="2">
        <f t="shared" si="0"/>
        <v>-947977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4864039</v>
      </c>
      <c r="U16" s="2"/>
      <c r="V16" s="19"/>
      <c r="W16" s="2"/>
      <c r="X16" s="2">
        <f t="shared" si="2"/>
        <v>-4864039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--1041445.01</f>
        <v>1041445.01</v>
      </c>
      <c r="E17" s="2"/>
      <c r="F17" s="19"/>
      <c r="G17" s="2"/>
      <c r="H17" s="2"/>
      <c r="I17" s="2"/>
      <c r="J17" s="19"/>
      <c r="K17" s="2"/>
      <c r="L17" s="2">
        <f t="shared" si="0"/>
        <v>1041445.01</v>
      </c>
      <c r="M17" s="2"/>
      <c r="N17" s="19">
        <f t="shared" si="1"/>
        <v>0</v>
      </c>
      <c r="O17" s="11"/>
      <c r="P17" s="2">
        <f>--6168445.67</f>
        <v>6168445.6699999999</v>
      </c>
      <c r="Q17" s="2"/>
      <c r="R17" s="19"/>
      <c r="S17" s="2"/>
      <c r="T17" s="2"/>
      <c r="U17" s="2"/>
      <c r="V17" s="19"/>
      <c r="W17" s="2"/>
      <c r="X17" s="2">
        <f t="shared" si="2"/>
        <v>6168445.6699999999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--5696.16</f>
        <v>5696.16</v>
      </c>
      <c r="E18" s="2"/>
      <c r="F18" s="19"/>
      <c r="G18" s="2"/>
      <c r="H18" s="2"/>
      <c r="I18" s="2"/>
      <c r="J18" s="19"/>
      <c r="K18" s="2"/>
      <c r="L18" s="2">
        <f t="shared" si="0"/>
        <v>5696.16</v>
      </c>
      <c r="M18" s="2"/>
      <c r="N18" s="19">
        <f t="shared" si="1"/>
        <v>0</v>
      </c>
      <c r="O18" s="11"/>
      <c r="P18" s="2">
        <f>--56465.99</f>
        <v>56465.99</v>
      </c>
      <c r="Q18" s="2"/>
      <c r="R18" s="19"/>
      <c r="S18" s="2"/>
      <c r="T18" s="2"/>
      <c r="U18" s="2"/>
      <c r="V18" s="19"/>
      <c r="W18" s="2"/>
      <c r="X18" s="2">
        <f t="shared" si="2"/>
        <v>56465.99</v>
      </c>
      <c r="Y18" s="2"/>
      <c r="Z18" s="19">
        <f t="shared" si="3"/>
        <v>0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268273.78000000003</v>
      </c>
      <c r="E20" s="4"/>
      <c r="F20" s="12">
        <f t="shared" ref="F20:F23" si="4">IF(D$12=0,0,D20/D$12)</f>
        <v>0.25101940165404363</v>
      </c>
      <c r="G20" s="4"/>
      <c r="H20" s="4">
        <f>SUM(OSRRefH16x_0)</f>
        <v>283101</v>
      </c>
      <c r="I20" s="4"/>
      <c r="J20" s="12">
        <f t="shared" ref="J20:J23" si="5">IF(H$12=0,0,H20/H$12)</f>
        <v>0.29080649982588652</v>
      </c>
      <c r="K20" s="4"/>
      <c r="L20" s="4">
        <f t="shared" ref="L20:L23" si="6">+D20-H20</f>
        <v>-14827.219999999972</v>
      </c>
      <c r="M20" s="4"/>
      <c r="N20" s="12">
        <f t="shared" ref="N20:N23" si="7">IF(H20=0,0,L20/H20)</f>
        <v>-5.2374311641428223E-2</v>
      </c>
      <c r="O20" s="10"/>
      <c r="P20" s="4">
        <f>SUM(OSRRefP16x_0)</f>
        <v>1737787.3599999999</v>
      </c>
      <c r="Q20" s="4"/>
      <c r="R20" s="12">
        <f t="shared" ref="R20:R23" si="8">IF(P$12=0,0,P20/P$12)</f>
        <v>0.27230116797179077</v>
      </c>
      <c r="S20" s="4"/>
      <c r="T20" s="4">
        <f>SUM(OSRRefT16x_0)</f>
        <v>1459666</v>
      </c>
      <c r="U20" s="4"/>
      <c r="V20" s="12">
        <f t="shared" ref="V20:V23" si="9">IF(T$12=0,0,T20/T$12)</f>
        <v>0.29101661407231783</v>
      </c>
      <c r="W20" s="4"/>
      <c r="X20" s="4">
        <f t="shared" ref="X20:X23" si="10">+P20-T20</f>
        <v>278121.35999999987</v>
      </c>
      <c r="Y20" s="4"/>
      <c r="Z20" s="12">
        <f t="shared" ref="Z20:Z23" si="11">IF(T20=0,0,X20/T20)</f>
        <v>0.19053767094664112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283101</v>
      </c>
      <c r="I21" s="2"/>
      <c r="J21" s="19">
        <f t="shared" si="5"/>
        <v>0.29080649982588652</v>
      </c>
      <c r="K21" s="2"/>
      <c r="L21" s="2">
        <f t="shared" si="6"/>
        <v>-283101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1459666</v>
      </c>
      <c r="U21" s="2"/>
      <c r="V21" s="19">
        <f t="shared" si="9"/>
        <v>0.29101661407231783</v>
      </c>
      <c r="W21" s="2"/>
      <c r="X21" s="2">
        <f t="shared" si="10"/>
        <v>-1459666</v>
      </c>
      <c r="Y21" s="2"/>
      <c r="Z21" s="19">
        <f t="shared" si="11"/>
        <v>-1</v>
      </c>
    </row>
    <row r="22" spans="1:26" s="24" customFormat="1" hidden="1" outlineLevel="1" x14ac:dyDescent="0.3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204500.45</v>
      </c>
      <c r="E22" s="2"/>
      <c r="F22" s="19">
        <f t="shared" si="4"/>
        <v>0.19134773661810212</v>
      </c>
      <c r="G22" s="2"/>
      <c r="H22" s="2"/>
      <c r="I22" s="2"/>
      <c r="J22" s="19">
        <f t="shared" si="5"/>
        <v>0</v>
      </c>
      <c r="K22" s="2"/>
      <c r="L22" s="2">
        <f t="shared" si="6"/>
        <v>204500.45</v>
      </c>
      <c r="M22" s="2"/>
      <c r="N22" s="19">
        <f t="shared" si="7"/>
        <v>0</v>
      </c>
      <c r="O22" s="11"/>
      <c r="P22" s="2">
        <v>1728424.69</v>
      </c>
      <c r="Q22" s="2"/>
      <c r="R22" s="19">
        <f t="shared" si="8"/>
        <v>0.27083409205961789</v>
      </c>
      <c r="S22" s="2"/>
      <c r="T22" s="2"/>
      <c r="U22" s="2"/>
      <c r="V22" s="19">
        <f t="shared" si="9"/>
        <v>0</v>
      </c>
      <c r="W22" s="2"/>
      <c r="X22" s="2">
        <f t="shared" si="10"/>
        <v>1728424.69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63773.33</v>
      </c>
      <c r="E23" s="2"/>
      <c r="F23" s="19">
        <f t="shared" si="4"/>
        <v>5.9671665035941533E-2</v>
      </c>
      <c r="G23" s="2"/>
      <c r="H23" s="2"/>
      <c r="I23" s="2"/>
      <c r="J23" s="19">
        <f t="shared" si="5"/>
        <v>0</v>
      </c>
      <c r="K23" s="2"/>
      <c r="L23" s="2">
        <f t="shared" si="6"/>
        <v>63773.33</v>
      </c>
      <c r="M23" s="2"/>
      <c r="N23" s="19">
        <f t="shared" si="7"/>
        <v>0</v>
      </c>
      <c r="O23" s="11"/>
      <c r="P23" s="2">
        <v>9362.67</v>
      </c>
      <c r="Q23" s="2"/>
      <c r="R23" s="19">
        <f t="shared" si="8"/>
        <v>1.4670759121728485E-3</v>
      </c>
      <c r="S23" s="2"/>
      <c r="T23" s="2"/>
      <c r="U23" s="2"/>
      <c r="V23" s="19">
        <f t="shared" si="9"/>
        <v>0</v>
      </c>
      <c r="W23" s="2"/>
      <c r="X23" s="2">
        <f t="shared" si="10"/>
        <v>9362.67</v>
      </c>
      <c r="Y23" s="2"/>
      <c r="Z23" s="19">
        <f t="shared" si="11"/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108</v>
      </c>
      <c r="C25" s="26"/>
      <c r="D25" s="20">
        <f>D12-D20</f>
        <v>800463.45</v>
      </c>
      <c r="E25" s="13"/>
      <c r="F25" s="22">
        <f>IF(D$12=0,0,D25/D$12)</f>
        <v>0.74898059834595632</v>
      </c>
      <c r="G25" s="13"/>
      <c r="H25" s="20">
        <f>H12-H20</f>
        <v>690402</v>
      </c>
      <c r="I25" s="13"/>
      <c r="J25" s="22">
        <f>IF(H$12=0,0,H25/H$12)</f>
        <v>0.70919350017411353</v>
      </c>
      <c r="K25" s="16"/>
      <c r="L25" s="20">
        <f>+D25-H25</f>
        <v>110061.44999999995</v>
      </c>
      <c r="M25" s="16"/>
      <c r="N25" s="22">
        <f>IF(H25=0,0,L25/H25)</f>
        <v>0.15941647040419923</v>
      </c>
      <c r="O25" s="25"/>
      <c r="P25" s="20">
        <f>P12-P20</f>
        <v>4644070.540000001</v>
      </c>
      <c r="Q25" s="13"/>
      <c r="R25" s="22">
        <f>IF(P$12=0,0,P25/P$12)</f>
        <v>0.72769883202820929</v>
      </c>
      <c r="S25" s="13"/>
      <c r="T25" s="20">
        <f>T12-T20</f>
        <v>3556082</v>
      </c>
      <c r="U25" s="13"/>
      <c r="V25" s="22">
        <f>IF(T$12=0,0,T25/T$12)</f>
        <v>0.70898338592768217</v>
      </c>
      <c r="W25" s="16"/>
      <c r="X25" s="20">
        <f>+P25-T25</f>
        <v>1087988.540000001</v>
      </c>
      <c r="Y25" s="16"/>
      <c r="Z25" s="22">
        <f>IF(T25=0,0,X25/T25)</f>
        <v>0.30595147693444669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295</v>
      </c>
      <c r="C27" s="10"/>
      <c r="D27" s="21">
        <f>SUM(OSRRefD22x_0)</f>
        <v>635803.43999999983</v>
      </c>
      <c r="E27" s="21"/>
      <c r="F27" s="32">
        <f t="shared" ref="F27:F38" si="12">IF(D$12=0,0,D27/D$12)</f>
        <v>0.59491091182441524</v>
      </c>
      <c r="G27" s="21"/>
      <c r="H27" s="21">
        <f>SUM(OSRRefH22x_0)</f>
        <v>662646.35379097273</v>
      </c>
      <c r="I27" s="21"/>
      <c r="J27" s="32">
        <f t="shared" ref="J27:J38" si="13">IF(H$12=0,0,H27/H$12)</f>
        <v>0.68068239521703855</v>
      </c>
      <c r="K27" s="4"/>
      <c r="L27" s="21">
        <f t="shared" ref="L27:L38" si="14">+D27-H27</f>
        <v>-26842.913790972903</v>
      </c>
      <c r="M27" s="4"/>
      <c r="N27" s="32">
        <f t="shared" ref="N27:N38" si="15">IF(H27=0,0,L27/H27)</f>
        <v>-4.0508656898820446E-2</v>
      </c>
      <c r="O27" s="10"/>
      <c r="P27" s="21">
        <f>SUM(OSRRefP22x_0)</f>
        <v>3773385.4499999988</v>
      </c>
      <c r="Q27" s="21"/>
      <c r="R27" s="32">
        <f t="shared" ref="R27:R38" si="16">IF(P$12=0,0,P27/P$12)</f>
        <v>0.59126754451865793</v>
      </c>
      <c r="S27" s="21"/>
      <c r="T27" s="21">
        <f>SUM(OSRRefT22x_0)</f>
        <v>4013741.5432545189</v>
      </c>
      <c r="U27" s="21"/>
      <c r="V27" s="32">
        <f t="shared" ref="V27:V38" si="17">IF(T$12=0,0,T27/T$12)</f>
        <v>0.80022791082297573</v>
      </c>
      <c r="W27" s="4"/>
      <c r="X27" s="21">
        <f t="shared" ref="X27:X38" si="18">+P27-T27</f>
        <v>-240356.09325452009</v>
      </c>
      <c r="Y27" s="4"/>
      <c r="Z27" s="32">
        <f t="shared" ref="Z27:Z38" si="19">IF(T27=0,0,X27/T27)</f>
        <v>-5.9883301070658562E-2</v>
      </c>
    </row>
    <row r="28" spans="1:26" s="28" customFormat="1" outlineLevel="1" collapsed="1" x14ac:dyDescent="0.3">
      <c r="A28" s="27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115967.54</v>
      </c>
      <c r="E28" s="1"/>
      <c r="F28" s="5">
        <f t="shared" si="12"/>
        <v>0.10850893628923172</v>
      </c>
      <c r="G28" s="1"/>
      <c r="H28" s="1">
        <f>SUM(OSRRefH22_0x_0)</f>
        <v>129960.18805712664</v>
      </c>
      <c r="I28" s="1"/>
      <c r="J28" s="5">
        <f t="shared" si="13"/>
        <v>0.13349747053386238</v>
      </c>
      <c r="K28" s="1"/>
      <c r="L28" s="1">
        <f t="shared" si="14"/>
        <v>-13992.648057126644</v>
      </c>
      <c r="M28" s="1"/>
      <c r="N28" s="5">
        <f t="shared" si="15"/>
        <v>-0.10766872737192325</v>
      </c>
      <c r="O28" s="14"/>
      <c r="P28" s="1">
        <f>SUM(OSRRefP22_0x_0)</f>
        <v>688868.8899999999</v>
      </c>
      <c r="Q28" s="1"/>
      <c r="R28" s="5">
        <f t="shared" si="16"/>
        <v>0.10794174686966938</v>
      </c>
      <c r="S28" s="1"/>
      <c r="T28" s="1">
        <f>SUM(OSRRefT22_0x_0)</f>
        <v>836951.81104451895</v>
      </c>
      <c r="U28" s="1"/>
      <c r="V28" s="5">
        <f t="shared" si="17"/>
        <v>0.16686480481964383</v>
      </c>
      <c r="W28" s="1"/>
      <c r="X28" s="1">
        <f t="shared" si="18"/>
        <v>-148082.92104451905</v>
      </c>
      <c r="Y28" s="1"/>
      <c r="Z28" s="5">
        <f t="shared" si="19"/>
        <v>-0.17693123915905148</v>
      </c>
    </row>
    <row r="29" spans="1:26" s="24" customFormat="1" hidden="1" outlineLevel="2" x14ac:dyDescent="0.3">
      <c r="A29" s="29"/>
      <c r="B29" s="11" t="str">
        <f>CONCATENATE("          ", "6111", " - ", "F.I.C.A.")</f>
        <v xml:space="preserve">          6111 - F.I.C.A.</v>
      </c>
      <c r="C29" s="11"/>
      <c r="D29" s="6">
        <v>15583.16</v>
      </c>
      <c r="E29" s="2"/>
      <c r="F29" s="7">
        <f t="shared" si="12"/>
        <v>1.4580908723466105E-2</v>
      </c>
      <c r="G29" s="2"/>
      <c r="H29" s="6">
        <v>14481.6781695882</v>
      </c>
      <c r="I29" s="2"/>
      <c r="J29" s="7">
        <f t="shared" si="13"/>
        <v>1.4875843391944555E-2</v>
      </c>
      <c r="K29" s="2"/>
      <c r="L29" s="6">
        <f t="shared" si="14"/>
        <v>1101.4818304117998</v>
      </c>
      <c r="M29" s="2"/>
      <c r="N29" s="7">
        <f t="shared" si="15"/>
        <v>7.6060372113843311E-2</v>
      </c>
      <c r="O29" s="11"/>
      <c r="P29" s="6">
        <v>99182.67</v>
      </c>
      <c r="Q29" s="2"/>
      <c r="R29" s="7">
        <f t="shared" si="16"/>
        <v>1.5541347293238854E-2</v>
      </c>
      <c r="S29" s="2"/>
      <c r="T29" s="6">
        <v>98072.946797904006</v>
      </c>
      <c r="U29" s="2"/>
      <c r="V29" s="7">
        <f t="shared" si="17"/>
        <v>1.9553005214357662E-2</v>
      </c>
      <c r="W29" s="2"/>
      <c r="X29" s="6">
        <f t="shared" si="18"/>
        <v>1109.7232020959927</v>
      </c>
      <c r="Y29" s="2"/>
      <c r="Z29" s="7">
        <f t="shared" si="19"/>
        <v>1.1315283555033442E-2</v>
      </c>
    </row>
    <row r="30" spans="1:26" s="24" customFormat="1" hidden="1" outlineLevel="2" x14ac:dyDescent="0.3">
      <c r="A30" s="29"/>
      <c r="B30" s="11" t="str">
        <f>CONCATENATE("          ", "6112", " - ", "COMPENSATION INSURANCE")</f>
        <v xml:space="preserve">          6112 - COMPENSATION INSURANCE</v>
      </c>
      <c r="C30" s="11"/>
      <c r="D30" s="6">
        <v>10323.07</v>
      </c>
      <c r="E30" s="2"/>
      <c r="F30" s="7">
        <f t="shared" si="12"/>
        <v>9.6591282779584647E-3</v>
      </c>
      <c r="G30" s="2"/>
      <c r="H30" s="6">
        <v>12191.6066318292</v>
      </c>
      <c r="I30" s="2"/>
      <c r="J30" s="7">
        <f t="shared" si="13"/>
        <v>1.2523440227538282E-2</v>
      </c>
      <c r="K30" s="2"/>
      <c r="L30" s="6">
        <f t="shared" si="14"/>
        <v>-1868.5366318291999</v>
      </c>
      <c r="M30" s="2"/>
      <c r="N30" s="7">
        <f t="shared" si="15"/>
        <v>-0.15326418315949628</v>
      </c>
      <c r="O30" s="11"/>
      <c r="P30" s="6">
        <v>56961.35</v>
      </c>
      <c r="Q30" s="2"/>
      <c r="R30" s="7">
        <f t="shared" si="16"/>
        <v>8.9255121145834348E-3</v>
      </c>
      <c r="S30" s="2"/>
      <c r="T30" s="6">
        <v>74823.838382720001</v>
      </c>
      <c r="U30" s="2"/>
      <c r="V30" s="7">
        <f t="shared" si="17"/>
        <v>1.4917782628377662E-2</v>
      </c>
      <c r="W30" s="2"/>
      <c r="X30" s="6">
        <f t="shared" si="18"/>
        <v>-17862.488382720003</v>
      </c>
      <c r="Y30" s="2"/>
      <c r="Z30" s="7">
        <f t="shared" si="19"/>
        <v>-0.2387272394574883</v>
      </c>
    </row>
    <row r="31" spans="1:26" s="24" customFormat="1" hidden="1" outlineLevel="2" x14ac:dyDescent="0.3">
      <c r="A31" s="29"/>
      <c r="B31" s="11" t="str">
        <f>CONCATENATE("          ", "6113", " - ", "GROUP INSURANCE")</f>
        <v xml:space="preserve">          6113 - GROUP INSURANCE</v>
      </c>
      <c r="C31" s="11"/>
      <c r="D31" s="6">
        <v>56887.35</v>
      </c>
      <c r="E31" s="2"/>
      <c r="F31" s="7">
        <f t="shared" si="12"/>
        <v>5.3228565828103508E-2</v>
      </c>
      <c r="G31" s="2"/>
      <c r="H31" s="6">
        <v>73028.815384615402</v>
      </c>
      <c r="I31" s="2"/>
      <c r="J31" s="7">
        <f t="shared" si="13"/>
        <v>7.5016528335932614E-2</v>
      </c>
      <c r="K31" s="2"/>
      <c r="L31" s="6">
        <f t="shared" si="14"/>
        <v>-16141.465384615403</v>
      </c>
      <c r="M31" s="2"/>
      <c r="N31" s="7">
        <f t="shared" si="15"/>
        <v>-0.22102871722078957</v>
      </c>
      <c r="O31" s="11"/>
      <c r="P31" s="6">
        <v>333944.43</v>
      </c>
      <c r="Q31" s="2"/>
      <c r="R31" s="7">
        <f t="shared" si="16"/>
        <v>5.2327149120634603E-2</v>
      </c>
      <c r="S31" s="2"/>
      <c r="T31" s="6">
        <v>473905.16538461501</v>
      </c>
      <c r="U31" s="2"/>
      <c r="V31" s="7">
        <f t="shared" si="17"/>
        <v>9.4483448009073628E-2</v>
      </c>
      <c r="W31" s="2"/>
      <c r="X31" s="6">
        <f t="shared" si="18"/>
        <v>-139960.73538461502</v>
      </c>
      <c r="Y31" s="2"/>
      <c r="Z31" s="7">
        <f t="shared" si="19"/>
        <v>-0.29533490159581777</v>
      </c>
    </row>
    <row r="32" spans="1:26" s="24" customFormat="1" hidden="1" outlineLevel="2" x14ac:dyDescent="0.3">
      <c r="A32" s="29"/>
      <c r="B32" s="11" t="str">
        <f>CONCATENATE("          ", "6114", " - ", "STATE UNEMPLOYMENT INSURANCE")</f>
        <v xml:space="preserve">          6114 - STATE UNEMPLOYMENT INSURANCE</v>
      </c>
      <c r="C32" s="11"/>
      <c r="D32" s="6">
        <v>775.43</v>
      </c>
      <c r="E32" s="2"/>
      <c r="F32" s="7">
        <f t="shared" si="12"/>
        <v>7.2555720735956771E-4</v>
      </c>
      <c r="G32" s="2"/>
      <c r="H32" s="6">
        <v>675.52437801692395</v>
      </c>
      <c r="I32" s="2"/>
      <c r="J32" s="7">
        <f t="shared" si="13"/>
        <v>6.939109360905143E-4</v>
      </c>
      <c r="K32" s="2"/>
      <c r="L32" s="6">
        <f t="shared" si="14"/>
        <v>99.905621983076003</v>
      </c>
      <c r="M32" s="2"/>
      <c r="N32" s="7">
        <f t="shared" si="15"/>
        <v>0.1478934369124619</v>
      </c>
      <c r="O32" s="11"/>
      <c r="P32" s="6">
        <v>4305.49</v>
      </c>
      <c r="Q32" s="2"/>
      <c r="R32" s="7">
        <f t="shared" si="16"/>
        <v>6.7464523144584586E-4</v>
      </c>
      <c r="S32" s="2"/>
      <c r="T32" s="6">
        <v>4145.9118892799997</v>
      </c>
      <c r="U32" s="2"/>
      <c r="V32" s="7">
        <f t="shared" si="17"/>
        <v>8.2657898468583343E-4</v>
      </c>
      <c r="W32" s="2"/>
      <c r="X32" s="6">
        <f t="shared" si="18"/>
        <v>159.57811072000004</v>
      </c>
      <c r="Y32" s="2"/>
      <c r="Z32" s="7">
        <f t="shared" si="19"/>
        <v>3.8490473261773343E-2</v>
      </c>
    </row>
    <row r="33" spans="1:26" s="24" customFormat="1" hidden="1" outlineLevel="2" x14ac:dyDescent="0.3">
      <c r="A33" s="29"/>
      <c r="B33" s="11" t="str">
        <f>CONCATENATE("          ", "6115", " - ", "P.E.R.S.")</f>
        <v xml:space="preserve">          6115 - P.E.R.S.</v>
      </c>
      <c r="C33" s="11"/>
      <c r="D33" s="6">
        <v>7758.72</v>
      </c>
      <c r="E33" s="2"/>
      <c r="F33" s="7">
        <f t="shared" si="12"/>
        <v>7.2597077955261283E-3</v>
      </c>
      <c r="G33" s="2"/>
      <c r="H33" s="6">
        <v>6180.7902307692302</v>
      </c>
      <c r="I33" s="2"/>
      <c r="J33" s="7">
        <f t="shared" si="13"/>
        <v>6.3490202195260106E-3</v>
      </c>
      <c r="K33" s="2"/>
      <c r="L33" s="6">
        <f t="shared" si="14"/>
        <v>1577.92976923077</v>
      </c>
      <c r="M33" s="2"/>
      <c r="N33" s="7">
        <f t="shared" si="15"/>
        <v>0.25529579719038431</v>
      </c>
      <c r="O33" s="11"/>
      <c r="P33" s="6">
        <v>46429.26</v>
      </c>
      <c r="Q33" s="2"/>
      <c r="R33" s="7">
        <f t="shared" si="16"/>
        <v>7.2751948926973132E-3</v>
      </c>
      <c r="S33" s="2"/>
      <c r="T33" s="6">
        <v>40175.136500000001</v>
      </c>
      <c r="U33" s="2"/>
      <c r="V33" s="7">
        <f t="shared" si="17"/>
        <v>8.0097996350693857E-3</v>
      </c>
      <c r="W33" s="2"/>
      <c r="X33" s="6">
        <f t="shared" si="18"/>
        <v>6254.1235000000015</v>
      </c>
      <c r="Y33" s="2"/>
      <c r="Z33" s="7">
        <f t="shared" si="19"/>
        <v>0.15567149348702278</v>
      </c>
    </row>
    <row r="34" spans="1:26" s="24" customFormat="1" hidden="1" outlineLevel="2" x14ac:dyDescent="0.3">
      <c r="A34" s="29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3">
      <c r="A35" s="29"/>
      <c r="B35" s="11" t="str">
        <f>CONCATENATE("          ", "6117", " - ", "RETIREMENT STAFF HOURLY")</f>
        <v xml:space="preserve">          6117 - RETIREMENT STAFF HOURLY</v>
      </c>
      <c r="C35" s="11"/>
      <c r="D35" s="6">
        <v>1654.25</v>
      </c>
      <c r="E35" s="2"/>
      <c r="F35" s="7">
        <f t="shared" si="12"/>
        <v>1.5478547519112813E-3</v>
      </c>
      <c r="G35" s="2"/>
      <c r="H35" s="6"/>
      <c r="I35" s="2"/>
      <c r="J35" s="7">
        <f t="shared" si="13"/>
        <v>0</v>
      </c>
      <c r="K35" s="2"/>
      <c r="L35" s="6">
        <f t="shared" si="14"/>
        <v>1654.25</v>
      </c>
      <c r="M35" s="2"/>
      <c r="N35" s="7">
        <f t="shared" si="15"/>
        <v>0</v>
      </c>
      <c r="O35" s="11"/>
      <c r="P35" s="6">
        <v>9944.23</v>
      </c>
      <c r="Q35" s="2"/>
      <c r="R35" s="7">
        <f t="shared" si="16"/>
        <v>1.5582029803578043E-3</v>
      </c>
      <c r="S35" s="2"/>
      <c r="T35" s="6"/>
      <c r="U35" s="2"/>
      <c r="V35" s="7">
        <f t="shared" si="17"/>
        <v>0</v>
      </c>
      <c r="W35" s="2"/>
      <c r="X35" s="6">
        <f t="shared" si="18"/>
        <v>9944.23</v>
      </c>
      <c r="Y35" s="2"/>
      <c r="Z35" s="7">
        <f t="shared" si="19"/>
        <v>0</v>
      </c>
    </row>
    <row r="36" spans="1:26" s="24" customFormat="1" hidden="1" outlineLevel="2" x14ac:dyDescent="0.3">
      <c r="A36" s="29"/>
      <c r="B36" s="11" t="str">
        <f>CONCATENATE("          ", "6118", " - ", "VACATION")</f>
        <v xml:space="preserve">          6118 - VACATION</v>
      </c>
      <c r="C36" s="11"/>
      <c r="D36" s="6">
        <v>10443.58</v>
      </c>
      <c r="E36" s="2"/>
      <c r="F36" s="7">
        <f t="shared" si="12"/>
        <v>9.7718875200033962E-3</v>
      </c>
      <c r="G36" s="2"/>
      <c r="H36" s="6">
        <v>7842.51311815384</v>
      </c>
      <c r="I36" s="2"/>
      <c r="J36" s="7">
        <f t="shared" si="13"/>
        <v>8.0559722139056985E-3</v>
      </c>
      <c r="K36" s="2"/>
      <c r="L36" s="6">
        <f t="shared" si="14"/>
        <v>2601.06688184616</v>
      </c>
      <c r="M36" s="2"/>
      <c r="N36" s="7">
        <f t="shared" si="15"/>
        <v>0.33166242028020498</v>
      </c>
      <c r="O36" s="11"/>
      <c r="P36" s="6">
        <v>63834.9</v>
      </c>
      <c r="Q36" s="2"/>
      <c r="R36" s="7">
        <f t="shared" si="16"/>
        <v>1.0002557405736032E-2</v>
      </c>
      <c r="S36" s="2"/>
      <c r="T36" s="6">
        <v>51488.859923999997</v>
      </c>
      <c r="U36" s="2"/>
      <c r="V36" s="7">
        <f t="shared" si="17"/>
        <v>1.0265439955117361E-2</v>
      </c>
      <c r="W36" s="2"/>
      <c r="X36" s="6">
        <f t="shared" si="18"/>
        <v>12346.040076000005</v>
      </c>
      <c r="Y36" s="2"/>
      <c r="Z36" s="7">
        <f t="shared" si="19"/>
        <v>0.2397808010164402</v>
      </c>
    </row>
    <row r="37" spans="1:26" s="24" customFormat="1" hidden="1" outlineLevel="2" x14ac:dyDescent="0.3">
      <c r="A37" s="29"/>
      <c r="B37" s="11" t="str">
        <f>CONCATENATE("          ", "6119", " - ", "SICK LEAVE")</f>
        <v xml:space="preserve">          6119 - SICK LEAVE</v>
      </c>
      <c r="C37" s="11"/>
      <c r="D37" s="6">
        <v>7680.78</v>
      </c>
      <c r="E37" s="2"/>
      <c r="F37" s="7">
        <f t="shared" si="12"/>
        <v>7.186780608363386E-3</v>
      </c>
      <c r="G37" s="2"/>
      <c r="H37" s="6">
        <v>9334.2601441538409</v>
      </c>
      <c r="I37" s="2"/>
      <c r="J37" s="7">
        <f t="shared" si="13"/>
        <v>9.5883219097977514E-3</v>
      </c>
      <c r="K37" s="2"/>
      <c r="L37" s="6">
        <f t="shared" si="14"/>
        <v>-1653.4801441538411</v>
      </c>
      <c r="M37" s="2"/>
      <c r="N37" s="7">
        <f t="shared" si="15"/>
        <v>-0.17714099656730004</v>
      </c>
      <c r="O37" s="11"/>
      <c r="P37" s="6">
        <v>45096.22</v>
      </c>
      <c r="Q37" s="2"/>
      <c r="R37" s="7">
        <f t="shared" si="16"/>
        <v>7.0663152810093123E-3</v>
      </c>
      <c r="S37" s="2"/>
      <c r="T37" s="6">
        <v>56941.952166000003</v>
      </c>
      <c r="U37" s="2"/>
      <c r="V37" s="7">
        <f t="shared" si="17"/>
        <v>1.135263417659739E-2</v>
      </c>
      <c r="W37" s="2"/>
      <c r="X37" s="6">
        <f t="shared" si="18"/>
        <v>-11845.732166000002</v>
      </c>
      <c r="Y37" s="2"/>
      <c r="Z37" s="7">
        <f t="shared" si="19"/>
        <v>-0.20803171853797242</v>
      </c>
    </row>
    <row r="38" spans="1:26" s="24" customFormat="1" hidden="1" outlineLevel="2" x14ac:dyDescent="0.3">
      <c r="A38" s="29"/>
      <c r="B38" s="11" t="str">
        <f>CONCATENATE("          ", "6156", " - ", "EMPLOYEE MEALS")</f>
        <v xml:space="preserve">          6156 - EMPLOYEE MEALS</v>
      </c>
      <c r="C38" s="11"/>
      <c r="D38" s="6">
        <v>4861.2</v>
      </c>
      <c r="E38" s="2"/>
      <c r="F38" s="7">
        <f t="shared" si="12"/>
        <v>4.5485455765398941E-3</v>
      </c>
      <c r="G38" s="2"/>
      <c r="H38" s="6">
        <v>6225</v>
      </c>
      <c r="I38" s="2"/>
      <c r="J38" s="7">
        <f t="shared" si="13"/>
        <v>6.3944332991269668E-3</v>
      </c>
      <c r="K38" s="2"/>
      <c r="L38" s="6">
        <f t="shared" si="14"/>
        <v>-1363.8000000000002</v>
      </c>
      <c r="M38" s="2"/>
      <c r="N38" s="7">
        <f t="shared" si="15"/>
        <v>-0.21908433734939761</v>
      </c>
      <c r="O38" s="11"/>
      <c r="P38" s="6">
        <v>29170.34</v>
      </c>
      <c r="Q38" s="2"/>
      <c r="R38" s="7">
        <f t="shared" si="16"/>
        <v>4.5708225499662093E-3</v>
      </c>
      <c r="S38" s="2"/>
      <c r="T38" s="6">
        <v>37398</v>
      </c>
      <c r="U38" s="2"/>
      <c r="V38" s="7">
        <f t="shared" si="17"/>
        <v>7.4561162163649369E-3</v>
      </c>
      <c r="W38" s="2"/>
      <c r="X38" s="6">
        <f t="shared" si="18"/>
        <v>-8227.66</v>
      </c>
      <c r="Y38" s="2"/>
      <c r="Z38" s="7">
        <f t="shared" si="19"/>
        <v>-0.22000267393978287</v>
      </c>
    </row>
    <row r="39" spans="1:26" s="28" customFormat="1" outlineLevel="1" collapsed="1" x14ac:dyDescent="0.3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308186.99999999994</v>
      </c>
      <c r="E39" s="1"/>
      <c r="F39" s="5">
        <f t="shared" ref="F39:F49" si="20">IF(D$12=0,0,D39/D$12)</f>
        <v>0.28836555080990295</v>
      </c>
      <c r="G39" s="1"/>
      <c r="H39" s="1">
        <f>SUM(OSRRefH22_1x_0)</f>
        <v>305698.16573384608</v>
      </c>
      <c r="I39" s="1"/>
      <c r="J39" s="5">
        <f t="shared" ref="J39:J49" si="21">IF(H$12=0,0,H39/H$12)</f>
        <v>0.31401871975109075</v>
      </c>
      <c r="K39" s="1"/>
      <c r="L39" s="1">
        <f t="shared" ref="L39:L49" si="22">+D39-H39</f>
        <v>2488.8342661538627</v>
      </c>
      <c r="M39" s="1"/>
      <c r="N39" s="5">
        <f t="shared" ref="N39:N49" si="23">IF(H39=0,0,L39/H39)</f>
        <v>8.1414759561257832E-3</v>
      </c>
      <c r="O39" s="14"/>
      <c r="P39" s="1">
        <f>SUM(OSRRefP22_1x_0)</f>
        <v>1725513.1500000001</v>
      </c>
      <c r="Q39" s="1"/>
      <c r="R39" s="5">
        <f t="shared" ref="R39:R49" si="24">IF(P$12=0,0,P39/P$12)</f>
        <v>0.27037787068245439</v>
      </c>
      <c r="S39" s="1"/>
      <c r="T39" s="1">
        <f>SUM(OSRRefT22_1x_0)</f>
        <v>1871963.73221</v>
      </c>
      <c r="U39" s="1"/>
      <c r="V39" s="5">
        <f t="shared" ref="V39:V49" si="25">IF(T$12=0,0,T39/T$12)</f>
        <v>0.37321726135563432</v>
      </c>
      <c r="W39" s="1"/>
      <c r="X39" s="1">
        <f t="shared" ref="X39:X49" si="26">+P39-T39</f>
        <v>-146450.58220999991</v>
      </c>
      <c r="Y39" s="1"/>
      <c r="Z39" s="5">
        <f t="shared" ref="Z39:Z49" si="27">IF(T39=0,0,X39/T39)</f>
        <v>-7.8233664301339587E-2</v>
      </c>
    </row>
    <row r="40" spans="1:26" s="24" customFormat="1" hidden="1" outlineLevel="2" x14ac:dyDescent="0.3">
      <c r="A40" s="29"/>
      <c r="B40" s="11" t="str">
        <f>CONCATENATE("          ", "6001", " - ", "ADMINISTRATIVE SALARIES")</f>
        <v xml:space="preserve">          6001 - ADMINISTRATIVE SALARIES</v>
      </c>
      <c r="C40" s="11"/>
      <c r="D40" s="6">
        <v>19788.48</v>
      </c>
      <c r="E40" s="2"/>
      <c r="F40" s="7">
        <f t="shared" si="20"/>
        <v>1.8515758078344477E-2</v>
      </c>
      <c r="G40" s="2"/>
      <c r="H40" s="6">
        <v>10268.307692307701</v>
      </c>
      <c r="I40" s="2"/>
      <c r="J40" s="7">
        <f t="shared" si="21"/>
        <v>1.0547792551546016E-2</v>
      </c>
      <c r="K40" s="2"/>
      <c r="L40" s="6">
        <f t="shared" si="22"/>
        <v>9520.172307692299</v>
      </c>
      <c r="M40" s="2"/>
      <c r="N40" s="7">
        <f t="shared" si="23"/>
        <v>0.92714131607335326</v>
      </c>
      <c r="O40" s="11"/>
      <c r="P40" s="6">
        <v>119615.97</v>
      </c>
      <c r="Q40" s="2"/>
      <c r="R40" s="7">
        <f t="shared" si="24"/>
        <v>1.8743126511795254E-2</v>
      </c>
      <c r="S40" s="2"/>
      <c r="T40" s="6">
        <v>66744</v>
      </c>
      <c r="U40" s="2"/>
      <c r="V40" s="7">
        <f t="shared" si="25"/>
        <v>1.3306888623591138E-2</v>
      </c>
      <c r="W40" s="2"/>
      <c r="X40" s="6">
        <f t="shared" si="26"/>
        <v>52871.97</v>
      </c>
      <c r="Y40" s="2"/>
      <c r="Z40" s="7">
        <f t="shared" si="27"/>
        <v>0.79216064365336214</v>
      </c>
    </row>
    <row r="41" spans="1:26" s="24" customFormat="1" hidden="1" outlineLevel="2" x14ac:dyDescent="0.3">
      <c r="A41" s="29"/>
      <c r="B41" s="11" t="str">
        <f>CONCATENATE("          ", "6002", " - ", "STAFF SALARIES")</f>
        <v xml:space="preserve">          6002 - STAFF SALARIES</v>
      </c>
      <c r="C41" s="11"/>
      <c r="D41" s="6">
        <v>58135.25</v>
      </c>
      <c r="E41" s="2"/>
      <c r="F41" s="7">
        <f t="shared" si="20"/>
        <v>5.4396205510684796E-2</v>
      </c>
      <c r="G41" s="2"/>
      <c r="H41" s="6">
        <v>56764.480161538399</v>
      </c>
      <c r="I41" s="2"/>
      <c r="J41" s="7">
        <f t="shared" si="21"/>
        <v>5.8309507173104139E-2</v>
      </c>
      <c r="K41" s="2"/>
      <c r="L41" s="6">
        <f t="shared" si="22"/>
        <v>1370.7698384616015</v>
      </c>
      <c r="M41" s="2"/>
      <c r="N41" s="7">
        <f t="shared" si="23"/>
        <v>2.4148372971279083E-2</v>
      </c>
      <c r="O41" s="11"/>
      <c r="P41" s="6">
        <v>359697.81</v>
      </c>
      <c r="Q41" s="2"/>
      <c r="R41" s="7">
        <f t="shared" si="24"/>
        <v>5.6362553920230658E-2</v>
      </c>
      <c r="S41" s="2"/>
      <c r="T41" s="6">
        <v>368969.12105000002</v>
      </c>
      <c r="U41" s="2"/>
      <c r="V41" s="7">
        <f t="shared" si="25"/>
        <v>7.3562132916167242E-2</v>
      </c>
      <c r="W41" s="2"/>
      <c r="X41" s="6">
        <f t="shared" si="26"/>
        <v>-9271.3110500000184</v>
      </c>
      <c r="Y41" s="2"/>
      <c r="Z41" s="7">
        <f t="shared" si="27"/>
        <v>-2.5127606948830924E-2</v>
      </c>
    </row>
    <row r="42" spans="1:26" s="24" customFormat="1" hidden="1" outlineLevel="2" x14ac:dyDescent="0.3">
      <c r="A42" s="29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"6004", " - ", "STAFF HOURLY")</f>
        <v xml:space="preserve">          6004 - STAFF HOURLY</v>
      </c>
      <c r="C43" s="11"/>
      <c r="D43" s="6">
        <v>76820.289999999994</v>
      </c>
      <c r="E43" s="2"/>
      <c r="F43" s="7">
        <f t="shared" si="20"/>
        <v>7.1879492772980308E-2</v>
      </c>
      <c r="G43" s="2"/>
      <c r="H43" s="6">
        <v>108534.87788</v>
      </c>
      <c r="I43" s="2"/>
      <c r="J43" s="7">
        <f t="shared" si="21"/>
        <v>0.11148900196506842</v>
      </c>
      <c r="K43" s="2"/>
      <c r="L43" s="6">
        <f t="shared" si="22"/>
        <v>-31714.587880000006</v>
      </c>
      <c r="M43" s="2"/>
      <c r="N43" s="7">
        <f t="shared" si="23"/>
        <v>-0.29220641787670115</v>
      </c>
      <c r="O43" s="11"/>
      <c r="P43" s="6">
        <v>517300.95</v>
      </c>
      <c r="Q43" s="2"/>
      <c r="R43" s="7">
        <f t="shared" si="24"/>
        <v>8.1058048942142691E-2</v>
      </c>
      <c r="S43" s="2"/>
      <c r="T43" s="6">
        <v>706975.71615999995</v>
      </c>
      <c r="U43" s="2"/>
      <c r="V43" s="7">
        <f t="shared" si="25"/>
        <v>0.14095120332201697</v>
      </c>
      <c r="W43" s="2"/>
      <c r="X43" s="6">
        <f t="shared" si="26"/>
        <v>-189674.76615999994</v>
      </c>
      <c r="Y43" s="2"/>
      <c r="Z43" s="7">
        <f t="shared" si="27"/>
        <v>-0.26829035541734719</v>
      </c>
    </row>
    <row r="44" spans="1:26" s="24" customFormat="1" hidden="1" outlineLevel="2" x14ac:dyDescent="0.3">
      <c r="A44" s="29"/>
      <c r="B44" s="11" t="str">
        <f>CONCATENATE("          ", "6005", " - ", "TEMPORARY WAGES-HOURLY")</f>
        <v xml:space="preserve">          6005 - TEMPORARY WAGES-HOURLY</v>
      </c>
      <c r="C44" s="11"/>
      <c r="D44" s="6">
        <v>56138.93</v>
      </c>
      <c r="E44" s="2"/>
      <c r="F44" s="7">
        <f t="shared" si="20"/>
        <v>5.2528281437337038E-2</v>
      </c>
      <c r="G44" s="2"/>
      <c r="H44" s="6">
        <v>28929.764999999999</v>
      </c>
      <c r="I44" s="2"/>
      <c r="J44" s="7">
        <f t="shared" si="21"/>
        <v>2.9717181148902469E-2</v>
      </c>
      <c r="K44" s="2"/>
      <c r="L44" s="6">
        <f t="shared" si="22"/>
        <v>27209.165000000001</v>
      </c>
      <c r="M44" s="2"/>
      <c r="N44" s="7">
        <f t="shared" si="23"/>
        <v>0.9405249230334225</v>
      </c>
      <c r="O44" s="11"/>
      <c r="P44" s="6">
        <v>311430.14</v>
      </c>
      <c r="Q44" s="2"/>
      <c r="R44" s="7">
        <f t="shared" si="24"/>
        <v>4.8799290877347801E-2</v>
      </c>
      <c r="S44" s="2"/>
      <c r="T44" s="6">
        <v>172767.185</v>
      </c>
      <c r="U44" s="2"/>
      <c r="V44" s="7">
        <f t="shared" si="25"/>
        <v>3.4444949188037359E-2</v>
      </c>
      <c r="W44" s="2"/>
      <c r="X44" s="6">
        <f t="shared" si="26"/>
        <v>138662.95500000002</v>
      </c>
      <c r="Y44" s="2"/>
      <c r="Z44" s="7">
        <f t="shared" si="27"/>
        <v>0.80260007130405009</v>
      </c>
    </row>
    <row r="45" spans="1:26" s="24" customFormat="1" hidden="1" outlineLevel="2" x14ac:dyDescent="0.3">
      <c r="A45" s="29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"6007", " - ", "STUDENT HOURLY")</f>
        <v xml:space="preserve">          6007 - STUDENT HOURLY</v>
      </c>
      <c r="C46" s="11"/>
      <c r="D46" s="6">
        <v>66282.009999999995</v>
      </c>
      <c r="E46" s="2"/>
      <c r="F46" s="7">
        <f t="shared" si="20"/>
        <v>6.2018996007091466E-2</v>
      </c>
      <c r="G46" s="2"/>
      <c r="H46" s="6">
        <v>992.31</v>
      </c>
      <c r="I46" s="2"/>
      <c r="J46" s="7">
        <f t="shared" si="21"/>
        <v>1.0193188926998684E-3</v>
      </c>
      <c r="K46" s="2"/>
      <c r="L46" s="6">
        <f t="shared" si="22"/>
        <v>65289.7</v>
      </c>
      <c r="M46" s="2"/>
      <c r="N46" s="7">
        <f t="shared" si="23"/>
        <v>65.795668692243353</v>
      </c>
      <c r="O46" s="11"/>
      <c r="P46" s="6">
        <v>342068.27</v>
      </c>
      <c r="Q46" s="2"/>
      <c r="R46" s="7">
        <f t="shared" si="24"/>
        <v>5.3600107579957243E-2</v>
      </c>
      <c r="S46" s="2"/>
      <c r="T46" s="6">
        <v>54155.76</v>
      </c>
      <c r="U46" s="2"/>
      <c r="V46" s="7">
        <f t="shared" si="25"/>
        <v>1.0797145311128072E-2</v>
      </c>
      <c r="W46" s="2"/>
      <c r="X46" s="6">
        <f t="shared" si="26"/>
        <v>287912.51</v>
      </c>
      <c r="Y46" s="2"/>
      <c r="Z46" s="7">
        <f t="shared" si="27"/>
        <v>5.3163783501514885</v>
      </c>
    </row>
    <row r="47" spans="1:26" s="24" customFormat="1" hidden="1" outlineLevel="2" x14ac:dyDescent="0.3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6">
        <v>31022.04</v>
      </c>
      <c r="E47" s="2"/>
      <c r="F47" s="7">
        <f t="shared" si="20"/>
        <v>2.9026817003464923E-2</v>
      </c>
      <c r="G47" s="2"/>
      <c r="H47" s="6">
        <v>100208.425</v>
      </c>
      <c r="I47" s="2"/>
      <c r="J47" s="7">
        <f t="shared" si="21"/>
        <v>0.10293591801976984</v>
      </c>
      <c r="K47" s="2"/>
      <c r="L47" s="6">
        <f t="shared" si="22"/>
        <v>-69186.385000000009</v>
      </c>
      <c r="M47" s="2"/>
      <c r="N47" s="7">
        <f t="shared" si="23"/>
        <v>-0.69042483204381278</v>
      </c>
      <c r="O47" s="11"/>
      <c r="P47" s="6">
        <v>75400.009999999995</v>
      </c>
      <c r="Q47" s="2"/>
      <c r="R47" s="7">
        <f t="shared" si="24"/>
        <v>1.1814742850980746E-2</v>
      </c>
      <c r="S47" s="2"/>
      <c r="T47" s="6">
        <v>502351.95</v>
      </c>
      <c r="U47" s="2"/>
      <c r="V47" s="7">
        <f t="shared" si="25"/>
        <v>0.10015494199469352</v>
      </c>
      <c r="W47" s="2"/>
      <c r="X47" s="6">
        <f t="shared" si="26"/>
        <v>-426951.94</v>
      </c>
      <c r="Y47" s="2"/>
      <c r="Z47" s="7">
        <f t="shared" si="27"/>
        <v>-0.84990600713304687</v>
      </c>
    </row>
    <row r="48" spans="1:26" s="24" customFormat="1" hidden="1" outlineLevel="2" x14ac:dyDescent="0.3">
      <c r="A48" s="29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9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8" customFormat="1" outlineLevel="1" collapsed="1" x14ac:dyDescent="0.3">
      <c r="A50" s="27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247.65</v>
      </c>
      <c r="E50" s="1"/>
      <c r="F50" s="5">
        <f t="shared" ref="F50:F58" si="28">IF(D$12=0,0,D50/D$12)</f>
        <v>2.3172206698553958E-4</v>
      </c>
      <c r="G50" s="1"/>
      <c r="H50" s="1">
        <f>SUM(OSRRefH22_2x_0)</f>
        <v>1319</v>
      </c>
      <c r="I50" s="1"/>
      <c r="J50" s="5">
        <f t="shared" ref="J50:J58" si="29">IF(H$12=0,0,H50/H$12)</f>
        <v>1.354900806674453E-3</v>
      </c>
      <c r="K50" s="1"/>
      <c r="L50" s="1">
        <f t="shared" ref="L50:L58" si="30">+D50-H50</f>
        <v>-1071.3499999999999</v>
      </c>
      <c r="M50" s="1"/>
      <c r="N50" s="5">
        <f t="shared" ref="N50:N58" si="31">IF(H50=0,0,L50/H50)</f>
        <v>-0.81224412433661863</v>
      </c>
      <c r="O50" s="14"/>
      <c r="P50" s="1">
        <f>SUM(OSRRefP22_2x_0)</f>
        <v>4110.8599999999997</v>
      </c>
      <c r="Q50" s="1"/>
      <c r="R50" s="5">
        <f t="shared" ref="R50:R58" si="32">IF(P$12=0,0,P50/P$12)</f>
        <v>6.4414784290323969E-4</v>
      </c>
      <c r="S50" s="1"/>
      <c r="T50" s="1">
        <f>SUM(OSRRefT22_2x_0)</f>
        <v>7914</v>
      </c>
      <c r="U50" s="1"/>
      <c r="V50" s="5">
        <f t="shared" ref="V50:V58" si="33">IF(T$12=0,0,T50/T$12)</f>
        <v>1.5778304651669103E-3</v>
      </c>
      <c r="W50" s="1"/>
      <c r="X50" s="1">
        <f t="shared" ref="X50:X58" si="34">+P50-T50</f>
        <v>-3803.1400000000003</v>
      </c>
      <c r="Y50" s="1"/>
      <c r="Z50" s="5">
        <f t="shared" ref="Z50:Z58" si="35">IF(T50=0,0,X50/T50)</f>
        <v>-0.48055850391710897</v>
      </c>
    </row>
    <row r="51" spans="1:26" s="24" customFormat="1" hidden="1" outlineLevel="2" x14ac:dyDescent="0.3">
      <c r="A51" s="29"/>
      <c r="B51" s="11" t="str">
        <f>CONCATENATE("          ", "6362", " - ", "ADVERTISING EXPENSE")</f>
        <v xml:space="preserve">          6362 - ADVERTISING EXPENSE</v>
      </c>
      <c r="C51" s="11"/>
      <c r="D51" s="6">
        <v>247.65</v>
      </c>
      <c r="E51" s="2"/>
      <c r="F51" s="7">
        <f t="shared" si="28"/>
        <v>2.3172206698553958E-4</v>
      </c>
      <c r="G51" s="2"/>
      <c r="H51" s="6">
        <v>1319</v>
      </c>
      <c r="I51" s="2"/>
      <c r="J51" s="7">
        <f t="shared" si="29"/>
        <v>1.354900806674453E-3</v>
      </c>
      <c r="K51" s="2"/>
      <c r="L51" s="6">
        <f t="shared" si="30"/>
        <v>-1071.3499999999999</v>
      </c>
      <c r="M51" s="2"/>
      <c r="N51" s="7">
        <f t="shared" si="31"/>
        <v>-0.81224412433661863</v>
      </c>
      <c r="O51" s="11"/>
      <c r="P51" s="6">
        <v>4110.8599999999997</v>
      </c>
      <c r="Q51" s="2"/>
      <c r="R51" s="7">
        <f t="shared" si="32"/>
        <v>6.4414784290323969E-4</v>
      </c>
      <c r="S51" s="2"/>
      <c r="T51" s="6">
        <v>7914</v>
      </c>
      <c r="U51" s="2"/>
      <c r="V51" s="7">
        <f t="shared" si="33"/>
        <v>1.5778304651669103E-3</v>
      </c>
      <c r="W51" s="2"/>
      <c r="X51" s="6">
        <f t="shared" si="34"/>
        <v>-3803.1400000000003</v>
      </c>
      <c r="Y51" s="2"/>
      <c r="Z51" s="7">
        <f t="shared" si="35"/>
        <v>-0.48055850391710897</v>
      </c>
    </row>
    <row r="52" spans="1:26" s="28" customFormat="1" outlineLevel="1" collapsed="1" x14ac:dyDescent="0.3">
      <c r="A52" s="27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26</v>
      </c>
      <c r="E52" s="1"/>
      <c r="F52" s="5">
        <f t="shared" si="28"/>
        <v>2.4327776061473971E-5</v>
      </c>
      <c r="G52" s="1"/>
      <c r="H52" s="1">
        <f>SUM(OSRRefH22_3x_0)</f>
        <v>43</v>
      </c>
      <c r="I52" s="1"/>
      <c r="J52" s="5">
        <f t="shared" si="29"/>
        <v>4.4170382628507565E-5</v>
      </c>
      <c r="K52" s="1"/>
      <c r="L52" s="1">
        <f t="shared" si="30"/>
        <v>-17</v>
      </c>
      <c r="M52" s="1"/>
      <c r="N52" s="5">
        <f t="shared" si="31"/>
        <v>-0.39534883720930231</v>
      </c>
      <c r="O52" s="14"/>
      <c r="P52" s="1">
        <f>SUM(OSRRefP22_3x_0)</f>
        <v>-104.81</v>
      </c>
      <c r="Q52" s="1"/>
      <c r="R52" s="5">
        <f t="shared" si="32"/>
        <v>-1.6423117161540057E-5</v>
      </c>
      <c r="S52" s="1"/>
      <c r="T52" s="1">
        <f>SUM(OSRRefT22_3x_0)</f>
        <v>230</v>
      </c>
      <c r="U52" s="1"/>
      <c r="V52" s="5">
        <f t="shared" si="33"/>
        <v>4.5855573286377226E-5</v>
      </c>
      <c r="W52" s="1"/>
      <c r="X52" s="1">
        <f t="shared" si="34"/>
        <v>-334.81</v>
      </c>
      <c r="Y52" s="1"/>
      <c r="Z52" s="5">
        <f t="shared" si="35"/>
        <v>-1.4556956521739131</v>
      </c>
    </row>
    <row r="53" spans="1:26" s="24" customFormat="1" hidden="1" outlineLevel="2" x14ac:dyDescent="0.3">
      <c r="A53" s="29"/>
      <c r="B53" s="11" t="str">
        <f>CONCATENATE("          ", "6272", " - ", "CASH (OVER/SHORT)")</f>
        <v xml:space="preserve">          6272 - CASH (OVER/SHORT)</v>
      </c>
      <c r="C53" s="11"/>
      <c r="D53" s="6">
        <v>26</v>
      </c>
      <c r="E53" s="2"/>
      <c r="F53" s="7">
        <f t="shared" si="28"/>
        <v>2.4327776061473971E-5</v>
      </c>
      <c r="G53" s="2"/>
      <c r="H53" s="6">
        <v>43</v>
      </c>
      <c r="I53" s="2"/>
      <c r="J53" s="7">
        <f t="shared" si="29"/>
        <v>4.4170382628507565E-5</v>
      </c>
      <c r="K53" s="2"/>
      <c r="L53" s="6">
        <f t="shared" si="30"/>
        <v>-17</v>
      </c>
      <c r="M53" s="2"/>
      <c r="N53" s="7">
        <f t="shared" si="31"/>
        <v>-0.39534883720930231</v>
      </c>
      <c r="O53" s="11"/>
      <c r="P53" s="6">
        <v>-104.81</v>
      </c>
      <c r="Q53" s="2"/>
      <c r="R53" s="7">
        <f t="shared" si="32"/>
        <v>-1.6423117161540057E-5</v>
      </c>
      <c r="S53" s="2"/>
      <c r="T53" s="6">
        <v>230</v>
      </c>
      <c r="U53" s="2"/>
      <c r="V53" s="7">
        <f t="shared" si="33"/>
        <v>4.5855573286377226E-5</v>
      </c>
      <c r="W53" s="2"/>
      <c r="X53" s="6">
        <f t="shared" si="34"/>
        <v>-334.81</v>
      </c>
      <c r="Y53" s="2"/>
      <c r="Z53" s="7">
        <f t="shared" si="35"/>
        <v>-1.4556956521739131</v>
      </c>
    </row>
    <row r="54" spans="1:26" s="28" customFormat="1" outlineLevel="1" collapsed="1" x14ac:dyDescent="0.3">
      <c r="A54" s="27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4074.9</v>
      </c>
      <c r="E54" s="1"/>
      <c r="F54" s="5">
        <f t="shared" si="28"/>
        <v>3.8128174874192417E-3</v>
      </c>
      <c r="G54" s="1"/>
      <c r="H54" s="1">
        <f>SUM(OSRRefH22_4x_0)</f>
        <v>4860</v>
      </c>
      <c r="I54" s="1"/>
      <c r="J54" s="5">
        <f t="shared" si="29"/>
        <v>4.992280455222018E-3</v>
      </c>
      <c r="K54" s="1"/>
      <c r="L54" s="1">
        <f t="shared" si="30"/>
        <v>-785.09999999999991</v>
      </c>
      <c r="M54" s="1"/>
      <c r="N54" s="5">
        <f t="shared" si="31"/>
        <v>-0.16154320987654319</v>
      </c>
      <c r="O54" s="14"/>
      <c r="P54" s="1">
        <f>SUM(OSRRefP22_4x_0)</f>
        <v>23393.55</v>
      </c>
      <c r="Q54" s="1"/>
      <c r="R54" s="5">
        <f t="shared" si="32"/>
        <v>3.6656331693001184E-3</v>
      </c>
      <c r="S54" s="1"/>
      <c r="T54" s="1">
        <f>SUM(OSRRefT22_4x_0)</f>
        <v>28647</v>
      </c>
      <c r="U54" s="1"/>
      <c r="V54" s="5">
        <f t="shared" si="33"/>
        <v>5.7114113388471669E-3</v>
      </c>
      <c r="W54" s="1"/>
      <c r="X54" s="1">
        <f t="shared" si="34"/>
        <v>-5253.4500000000007</v>
      </c>
      <c r="Y54" s="1"/>
      <c r="Z54" s="5">
        <f t="shared" si="35"/>
        <v>-0.18338569483715575</v>
      </c>
    </row>
    <row r="55" spans="1:26" s="24" customFormat="1" hidden="1" outlineLevel="2" x14ac:dyDescent="0.3">
      <c r="A55" s="29"/>
      <c r="B55" s="11" t="str">
        <f>CONCATENATE("          ", "6381", " - ", "BANK/CREDIT CARD FEES")</f>
        <v xml:space="preserve">          6381 - BANK/CREDIT CARD FEES</v>
      </c>
      <c r="C55" s="11"/>
      <c r="D55" s="6">
        <v>4074.9</v>
      </c>
      <c r="E55" s="2"/>
      <c r="F55" s="7">
        <f t="shared" si="28"/>
        <v>3.8128174874192417E-3</v>
      </c>
      <c r="G55" s="2"/>
      <c r="H55" s="6">
        <v>4860</v>
      </c>
      <c r="I55" s="2"/>
      <c r="J55" s="7">
        <f t="shared" si="29"/>
        <v>4.992280455222018E-3</v>
      </c>
      <c r="K55" s="2"/>
      <c r="L55" s="6">
        <f t="shared" si="30"/>
        <v>-785.09999999999991</v>
      </c>
      <c r="M55" s="2"/>
      <c r="N55" s="7">
        <f t="shared" si="31"/>
        <v>-0.16154320987654319</v>
      </c>
      <c r="O55" s="11"/>
      <c r="P55" s="6">
        <v>23393.55</v>
      </c>
      <c r="Q55" s="2"/>
      <c r="R55" s="7">
        <f t="shared" si="32"/>
        <v>3.6656331693001184E-3</v>
      </c>
      <c r="S55" s="2"/>
      <c r="T55" s="6">
        <v>28647</v>
      </c>
      <c r="U55" s="2"/>
      <c r="V55" s="7">
        <f t="shared" si="33"/>
        <v>5.7114113388471669E-3</v>
      </c>
      <c r="W55" s="2"/>
      <c r="X55" s="6">
        <f t="shared" si="34"/>
        <v>-5253.4500000000007</v>
      </c>
      <c r="Y55" s="2"/>
      <c r="Z55" s="7">
        <f t="shared" si="35"/>
        <v>-0.18338569483715575</v>
      </c>
    </row>
    <row r="56" spans="1:26" s="28" customFormat="1" outlineLevel="1" collapsed="1" x14ac:dyDescent="0.3">
      <c r="A56" s="27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33542.080000000002</v>
      </c>
      <c r="E56" s="1"/>
      <c r="F56" s="5">
        <f t="shared" si="28"/>
        <v>3.1384777341386338E-2</v>
      </c>
      <c r="G56" s="1"/>
      <c r="H56" s="1">
        <f>SUM(OSRRefH22_5x_0)</f>
        <v>33269</v>
      </c>
      <c r="I56" s="1"/>
      <c r="J56" s="5">
        <f t="shared" si="29"/>
        <v>3.417452231785624E-2</v>
      </c>
      <c r="K56" s="1"/>
      <c r="L56" s="1">
        <f t="shared" si="30"/>
        <v>273.08000000000175</v>
      </c>
      <c r="M56" s="1"/>
      <c r="N56" s="5">
        <f t="shared" si="31"/>
        <v>8.208241906880331E-3</v>
      </c>
      <c r="O56" s="14"/>
      <c r="P56" s="1">
        <f>SUM(OSRRefP22_5x_0)</f>
        <v>201340.62</v>
      </c>
      <c r="Q56" s="1"/>
      <c r="R56" s="5">
        <f t="shared" si="32"/>
        <v>3.1548903650769157E-2</v>
      </c>
      <c r="S56" s="1"/>
      <c r="T56" s="1">
        <f>SUM(OSRRefT22_5x_0)</f>
        <v>199702</v>
      </c>
      <c r="U56" s="1"/>
      <c r="V56" s="5">
        <f t="shared" si="33"/>
        <v>3.9814998680156977E-2</v>
      </c>
      <c r="W56" s="1"/>
      <c r="X56" s="1">
        <f t="shared" si="34"/>
        <v>1638.6199999999953</v>
      </c>
      <c r="Y56" s="1"/>
      <c r="Z56" s="5">
        <f t="shared" si="35"/>
        <v>8.2053259356440859E-3</v>
      </c>
    </row>
    <row r="57" spans="1:26" s="24" customFormat="1" hidden="1" outlineLevel="2" x14ac:dyDescent="0.3">
      <c r="A57" s="29"/>
      <c r="B57" s="11" t="str">
        <f>CONCATENATE("          ", "6321", " - ", "BUILDING DEPRECIATION")</f>
        <v xml:space="preserve">          6321 - BUILDING DEPRECIATION</v>
      </c>
      <c r="C57" s="11"/>
      <c r="D57" s="6">
        <v>23539.4</v>
      </c>
      <c r="E57" s="2"/>
      <c r="F57" s="7">
        <f t="shared" si="28"/>
        <v>2.2025432762363861E-2</v>
      </c>
      <c r="G57" s="2"/>
      <c r="H57" s="6"/>
      <c r="I57" s="2"/>
      <c r="J57" s="7">
        <f t="shared" si="29"/>
        <v>0</v>
      </c>
      <c r="K57" s="2"/>
      <c r="L57" s="6">
        <f t="shared" si="30"/>
        <v>23539.4</v>
      </c>
      <c r="M57" s="2"/>
      <c r="N57" s="7">
        <f t="shared" si="31"/>
        <v>0</v>
      </c>
      <c r="O57" s="11"/>
      <c r="P57" s="6">
        <v>141324.54</v>
      </c>
      <c r="Q57" s="2"/>
      <c r="R57" s="7">
        <f t="shared" si="32"/>
        <v>2.2144733119175218E-2</v>
      </c>
      <c r="S57" s="2"/>
      <c r="T57" s="6"/>
      <c r="U57" s="2"/>
      <c r="V57" s="7">
        <f t="shared" si="33"/>
        <v>0</v>
      </c>
      <c r="W57" s="2"/>
      <c r="X57" s="6">
        <f t="shared" si="34"/>
        <v>141324.54</v>
      </c>
      <c r="Y57" s="2"/>
      <c r="Z57" s="7">
        <f t="shared" si="35"/>
        <v>0</v>
      </c>
    </row>
    <row r="58" spans="1:26" s="24" customFormat="1" hidden="1" outlineLevel="2" x14ac:dyDescent="0.3">
      <c r="A58" s="29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10002.68</v>
      </c>
      <c r="E58" s="2"/>
      <c r="F58" s="7">
        <f t="shared" si="28"/>
        <v>9.3593445790224796E-3</v>
      </c>
      <c r="G58" s="2"/>
      <c r="H58" s="6">
        <v>33269</v>
      </c>
      <c r="I58" s="2"/>
      <c r="J58" s="7">
        <f t="shared" si="29"/>
        <v>3.417452231785624E-2</v>
      </c>
      <c r="K58" s="2"/>
      <c r="L58" s="6">
        <f t="shared" si="30"/>
        <v>-23266.32</v>
      </c>
      <c r="M58" s="2"/>
      <c r="N58" s="7">
        <f t="shared" si="31"/>
        <v>-0.69933932489705131</v>
      </c>
      <c r="O58" s="11"/>
      <c r="P58" s="6">
        <v>60016.08</v>
      </c>
      <c r="Q58" s="2"/>
      <c r="R58" s="7">
        <f t="shared" si="32"/>
        <v>9.4041705315939424E-3</v>
      </c>
      <c r="S58" s="2"/>
      <c r="T58" s="6">
        <v>199702</v>
      </c>
      <c r="U58" s="2"/>
      <c r="V58" s="7">
        <f t="shared" si="33"/>
        <v>3.9814998680156977E-2</v>
      </c>
      <c r="W58" s="2"/>
      <c r="X58" s="6">
        <f t="shared" si="34"/>
        <v>-139685.91999999998</v>
      </c>
      <c r="Y58" s="2"/>
      <c r="Z58" s="7">
        <f t="shared" si="35"/>
        <v>-0.69947181300137196</v>
      </c>
    </row>
    <row r="59" spans="1:26" s="28" customFormat="1" outlineLevel="1" collapsed="1" x14ac:dyDescent="0.3">
      <c r="A59" s="27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3782.41</v>
      </c>
      <c r="E59" s="1"/>
      <c r="F59" s="5">
        <f t="shared" ref="F59:F78" si="36">IF(D$12=0,0,D59/D$12)</f>
        <v>3.5391393635646061E-3</v>
      </c>
      <c r="G59" s="1"/>
      <c r="H59" s="1">
        <f>SUM(OSRRefH22_6x_0)</f>
        <v>15500</v>
      </c>
      <c r="I59" s="1"/>
      <c r="J59" s="5">
        <f t="shared" ref="J59:J78" si="37">IF(H$12=0,0,H59/H$12)</f>
        <v>1.5921882110275981E-2</v>
      </c>
      <c r="K59" s="1"/>
      <c r="L59" s="1">
        <f t="shared" ref="L59:L78" si="38">+D59-H59</f>
        <v>-11717.59</v>
      </c>
      <c r="M59" s="1"/>
      <c r="N59" s="5">
        <f t="shared" ref="N59:N78" si="39">IF(H59=0,0,L59/H59)</f>
        <v>-0.75597354838709674</v>
      </c>
      <c r="O59" s="14"/>
      <c r="P59" s="1">
        <f>SUM(OSRRefP22_6x_0)</f>
        <v>36595</v>
      </c>
      <c r="Q59" s="1"/>
      <c r="R59" s="5">
        <f t="shared" ref="R59:R78" si="40">IF(P$12=0,0,P59/P$12)</f>
        <v>5.7342235714775156E-3</v>
      </c>
      <c r="S59" s="1"/>
      <c r="T59" s="1">
        <f>SUM(OSRRefT22_6x_0)</f>
        <v>77500</v>
      </c>
      <c r="U59" s="1"/>
      <c r="V59" s="5">
        <f t="shared" ref="V59:V78" si="41">IF(T$12=0,0,T59/T$12)</f>
        <v>1.5451334476931457E-2</v>
      </c>
      <c r="W59" s="1"/>
      <c r="X59" s="1">
        <f t="shared" ref="X59:X78" si="42">+P59-T59</f>
        <v>-40905</v>
      </c>
      <c r="Y59" s="1"/>
      <c r="Z59" s="5">
        <f t="shared" ref="Z59:Z78" si="43">IF(T59=0,0,X59/T59)</f>
        <v>-0.52780645161290318</v>
      </c>
    </row>
    <row r="60" spans="1:26" s="24" customFormat="1" hidden="1" outlineLevel="2" x14ac:dyDescent="0.3">
      <c r="A60" s="29"/>
      <c r="B60" s="11" t="str">
        <f>CONCATENATE("          ", "6399", " - ", "DONATION-ON CAMPUS")</f>
        <v xml:space="preserve">          6399 - DONATION-ON CAMPUS</v>
      </c>
      <c r="C60" s="11"/>
      <c r="D60" s="6">
        <v>3782.41</v>
      </c>
      <c r="E60" s="2"/>
      <c r="F60" s="7">
        <f t="shared" si="36"/>
        <v>3.5391393635646061E-3</v>
      </c>
      <c r="G60" s="2"/>
      <c r="H60" s="6">
        <v>15500</v>
      </c>
      <c r="I60" s="2"/>
      <c r="J60" s="7">
        <f t="shared" si="37"/>
        <v>1.5921882110275981E-2</v>
      </c>
      <c r="K60" s="2"/>
      <c r="L60" s="6">
        <f t="shared" si="38"/>
        <v>-11717.59</v>
      </c>
      <c r="M60" s="2"/>
      <c r="N60" s="7">
        <f t="shared" si="39"/>
        <v>-0.75597354838709674</v>
      </c>
      <c r="O60" s="11"/>
      <c r="P60" s="6">
        <v>36595</v>
      </c>
      <c r="Q60" s="2"/>
      <c r="R60" s="7">
        <f t="shared" si="40"/>
        <v>5.7342235714775156E-3</v>
      </c>
      <c r="S60" s="2"/>
      <c r="T60" s="6">
        <v>77500</v>
      </c>
      <c r="U60" s="2"/>
      <c r="V60" s="7">
        <f t="shared" si="41"/>
        <v>1.5451334476931457E-2</v>
      </c>
      <c r="W60" s="2"/>
      <c r="X60" s="6">
        <f t="shared" si="42"/>
        <v>-40905</v>
      </c>
      <c r="Y60" s="2"/>
      <c r="Z60" s="7">
        <f t="shared" si="43"/>
        <v>-0.52780645161290318</v>
      </c>
    </row>
    <row r="61" spans="1:26" s="28" customFormat="1" outlineLevel="1" collapsed="1" x14ac:dyDescent="0.3">
      <c r="A61" s="27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287.10000000000002</v>
      </c>
      <c r="E61" s="1"/>
      <c r="F61" s="5">
        <f t="shared" si="36"/>
        <v>2.68634788740353E-4</v>
      </c>
      <c r="G61" s="1"/>
      <c r="H61" s="1">
        <f>SUM(OSRRefH22_7x_0)</f>
        <v>590</v>
      </c>
      <c r="I61" s="1"/>
      <c r="J61" s="5">
        <f t="shared" si="37"/>
        <v>6.0605873839115034E-4</v>
      </c>
      <c r="K61" s="1"/>
      <c r="L61" s="1">
        <f t="shared" si="38"/>
        <v>-302.89999999999998</v>
      </c>
      <c r="M61" s="1"/>
      <c r="N61" s="5">
        <f t="shared" si="39"/>
        <v>-0.51338983050847453</v>
      </c>
      <c r="O61" s="14"/>
      <c r="P61" s="1">
        <f>SUM(OSRRefP22_7x_0)</f>
        <v>477.23</v>
      </c>
      <c r="Q61" s="1"/>
      <c r="R61" s="5">
        <f t="shared" si="40"/>
        <v>7.477916423052917E-5</v>
      </c>
      <c r="S61" s="1"/>
      <c r="T61" s="1">
        <f>SUM(OSRRefT22_7x_0)</f>
        <v>1910</v>
      </c>
      <c r="U61" s="1"/>
      <c r="V61" s="5">
        <f t="shared" si="41"/>
        <v>3.8080063033469784E-4</v>
      </c>
      <c r="W61" s="1"/>
      <c r="X61" s="1">
        <f t="shared" si="42"/>
        <v>-1432.77</v>
      </c>
      <c r="Y61" s="1"/>
      <c r="Z61" s="5">
        <f t="shared" si="43"/>
        <v>-0.75014136125654451</v>
      </c>
    </row>
    <row r="62" spans="1:26" s="24" customFormat="1" hidden="1" outlineLevel="2" x14ac:dyDescent="0.3">
      <c r="A62" s="29"/>
      <c r="B62" s="11" t="str">
        <f>CONCATENATE("          ", "6277", " - ", "EMPLOYEE APPRECIATION")</f>
        <v xml:space="preserve">          6277 - EMPLOYEE APPRECIATION</v>
      </c>
      <c r="C62" s="11"/>
      <c r="D62" s="6">
        <v>287.10000000000002</v>
      </c>
      <c r="E62" s="2"/>
      <c r="F62" s="7">
        <f t="shared" si="36"/>
        <v>2.68634788740353E-4</v>
      </c>
      <c r="G62" s="2"/>
      <c r="H62" s="6">
        <v>590</v>
      </c>
      <c r="I62" s="2"/>
      <c r="J62" s="7">
        <f t="shared" si="37"/>
        <v>6.0605873839115034E-4</v>
      </c>
      <c r="K62" s="2"/>
      <c r="L62" s="6">
        <f t="shared" si="38"/>
        <v>-302.89999999999998</v>
      </c>
      <c r="M62" s="2"/>
      <c r="N62" s="7">
        <f t="shared" si="39"/>
        <v>-0.51338983050847453</v>
      </c>
      <c r="O62" s="11"/>
      <c r="P62" s="6">
        <v>477.23</v>
      </c>
      <c r="Q62" s="2"/>
      <c r="R62" s="7">
        <f t="shared" si="40"/>
        <v>7.477916423052917E-5</v>
      </c>
      <c r="S62" s="2"/>
      <c r="T62" s="6">
        <v>1910</v>
      </c>
      <c r="U62" s="2"/>
      <c r="V62" s="7">
        <f t="shared" si="41"/>
        <v>3.8080063033469784E-4</v>
      </c>
      <c r="W62" s="2"/>
      <c r="X62" s="6">
        <f t="shared" si="42"/>
        <v>-1432.77</v>
      </c>
      <c r="Y62" s="2"/>
      <c r="Z62" s="7">
        <f t="shared" si="43"/>
        <v>-0.75014136125654451</v>
      </c>
    </row>
    <row r="63" spans="1:26" s="28" customFormat="1" outlineLevel="1" collapsed="1" x14ac:dyDescent="0.3">
      <c r="A63" s="27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2579.75</v>
      </c>
      <c r="E63" s="1"/>
      <c r="F63" s="5">
        <f t="shared" si="36"/>
        <v>2.4138300113302875E-3</v>
      </c>
      <c r="G63" s="1"/>
      <c r="H63" s="1">
        <f>SUM(OSRRefH22_8x_0)</f>
        <v>1570</v>
      </c>
      <c r="I63" s="1"/>
      <c r="J63" s="5">
        <f t="shared" si="37"/>
        <v>1.6127325750408576E-3</v>
      </c>
      <c r="K63" s="1"/>
      <c r="L63" s="1">
        <f t="shared" si="38"/>
        <v>1009.75</v>
      </c>
      <c r="M63" s="1"/>
      <c r="N63" s="5">
        <f t="shared" si="39"/>
        <v>0.64315286624203827</v>
      </c>
      <c r="O63" s="14"/>
      <c r="P63" s="1">
        <f>SUM(OSRRefP22_8x_0)</f>
        <v>13632.86</v>
      </c>
      <c r="Q63" s="1"/>
      <c r="R63" s="5">
        <f t="shared" si="40"/>
        <v>2.1361898390122413E-3</v>
      </c>
      <c r="S63" s="1"/>
      <c r="T63" s="1">
        <f>SUM(OSRRefT22_8x_0)</f>
        <v>9420</v>
      </c>
      <c r="U63" s="1"/>
      <c r="V63" s="5">
        <f t="shared" si="41"/>
        <v>1.8780847841637976E-3</v>
      </c>
      <c r="W63" s="1"/>
      <c r="X63" s="1">
        <f t="shared" si="42"/>
        <v>4212.8600000000006</v>
      </c>
      <c r="Y63" s="1"/>
      <c r="Z63" s="5">
        <f t="shared" si="43"/>
        <v>0.44722505307855631</v>
      </c>
    </row>
    <row r="64" spans="1:26" s="24" customFormat="1" hidden="1" outlineLevel="2" x14ac:dyDescent="0.3">
      <c r="A64" s="29"/>
      <c r="B64" s="11" t="str">
        <f>CONCATENATE("          ", "6351", " - ", "EQUIPMENT RENTAL")</f>
        <v xml:space="preserve">          6351 - EQUIPMENT RENTAL</v>
      </c>
      <c r="C64" s="11"/>
      <c r="D64" s="6">
        <v>2579.75</v>
      </c>
      <c r="E64" s="2"/>
      <c r="F64" s="7">
        <f t="shared" si="36"/>
        <v>2.4138300113302875E-3</v>
      </c>
      <c r="G64" s="2"/>
      <c r="H64" s="6">
        <v>1570</v>
      </c>
      <c r="I64" s="2"/>
      <c r="J64" s="7">
        <f t="shared" si="37"/>
        <v>1.6127325750408576E-3</v>
      </c>
      <c r="K64" s="2"/>
      <c r="L64" s="6">
        <f t="shared" si="38"/>
        <v>1009.75</v>
      </c>
      <c r="M64" s="2"/>
      <c r="N64" s="7">
        <f t="shared" si="39"/>
        <v>0.64315286624203827</v>
      </c>
      <c r="O64" s="11"/>
      <c r="P64" s="6">
        <v>13632.86</v>
      </c>
      <c r="Q64" s="2"/>
      <c r="R64" s="7">
        <f t="shared" si="40"/>
        <v>2.1361898390122413E-3</v>
      </c>
      <c r="S64" s="2"/>
      <c r="T64" s="6">
        <v>9420</v>
      </c>
      <c r="U64" s="2"/>
      <c r="V64" s="7">
        <f t="shared" si="41"/>
        <v>1.8780847841637976E-3</v>
      </c>
      <c r="W64" s="2"/>
      <c r="X64" s="6">
        <f t="shared" si="42"/>
        <v>4212.8600000000006</v>
      </c>
      <c r="Y64" s="2"/>
      <c r="Z64" s="7">
        <f t="shared" si="43"/>
        <v>0.44722505307855631</v>
      </c>
    </row>
    <row r="65" spans="1:26" s="28" customFormat="1" outlineLevel="1" collapsed="1" x14ac:dyDescent="0.3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710</v>
      </c>
      <c r="E65" s="1"/>
      <c r="F65" s="5">
        <f t="shared" si="36"/>
        <v>6.6433542321717382E-4</v>
      </c>
      <c r="G65" s="1"/>
      <c r="H65" s="1">
        <f>SUM(OSRRefH22_9x_0)</f>
        <v>2485</v>
      </c>
      <c r="I65" s="1"/>
      <c r="J65" s="5">
        <f t="shared" si="37"/>
        <v>2.552637228647472E-3</v>
      </c>
      <c r="K65" s="1"/>
      <c r="L65" s="1">
        <f t="shared" si="38"/>
        <v>-1775</v>
      </c>
      <c r="M65" s="1"/>
      <c r="N65" s="5">
        <f t="shared" si="39"/>
        <v>-0.7142857142857143</v>
      </c>
      <c r="O65" s="14"/>
      <c r="P65" s="1">
        <f>SUM(OSRRefP22_9x_0)</f>
        <v>25972.97</v>
      </c>
      <c r="Q65" s="1"/>
      <c r="R65" s="5">
        <f t="shared" si="40"/>
        <v>4.0698132749085493E-3</v>
      </c>
      <c r="S65" s="1"/>
      <c r="T65" s="1">
        <f>SUM(OSRRefT22_9x_0)</f>
        <v>13320</v>
      </c>
      <c r="U65" s="1"/>
      <c r="V65" s="5">
        <f t="shared" si="41"/>
        <v>2.655635809454542E-3</v>
      </c>
      <c r="W65" s="1"/>
      <c r="X65" s="1">
        <f t="shared" si="42"/>
        <v>12652.970000000001</v>
      </c>
      <c r="Y65" s="1"/>
      <c r="Z65" s="5">
        <f t="shared" si="43"/>
        <v>0.94992267267267272</v>
      </c>
    </row>
    <row r="66" spans="1:26" s="24" customFormat="1" hidden="1" outlineLevel="2" x14ac:dyDescent="0.3">
      <c r="A66" s="29"/>
      <c r="B66" s="11" t="str">
        <f>CONCATENATE("          ", "6279", " - ", "GENERAL EXPENSE")</f>
        <v xml:space="preserve">          6279 - GENERAL EXPENSE</v>
      </c>
      <c r="C66" s="11"/>
      <c r="D66" s="6">
        <v>710</v>
      </c>
      <c r="E66" s="2"/>
      <c r="F66" s="7">
        <f t="shared" si="36"/>
        <v>6.6433542321717382E-4</v>
      </c>
      <c r="G66" s="2"/>
      <c r="H66" s="6">
        <v>2485</v>
      </c>
      <c r="I66" s="2"/>
      <c r="J66" s="7">
        <f t="shared" si="37"/>
        <v>2.552637228647472E-3</v>
      </c>
      <c r="K66" s="2"/>
      <c r="L66" s="6">
        <f t="shared" si="38"/>
        <v>-1775</v>
      </c>
      <c r="M66" s="2"/>
      <c r="N66" s="7">
        <f t="shared" si="39"/>
        <v>-0.7142857142857143</v>
      </c>
      <c r="O66" s="11"/>
      <c r="P66" s="6">
        <v>25972.97</v>
      </c>
      <c r="Q66" s="2"/>
      <c r="R66" s="7">
        <f t="shared" si="40"/>
        <v>4.0698132749085493E-3</v>
      </c>
      <c r="S66" s="2"/>
      <c r="T66" s="6">
        <v>13320</v>
      </c>
      <c r="U66" s="2"/>
      <c r="V66" s="7">
        <f t="shared" si="41"/>
        <v>2.655635809454542E-3</v>
      </c>
      <c r="W66" s="2"/>
      <c r="X66" s="6">
        <f t="shared" si="42"/>
        <v>12652.970000000001</v>
      </c>
      <c r="Y66" s="2"/>
      <c r="Z66" s="7">
        <f t="shared" si="43"/>
        <v>0.94992267267267272</v>
      </c>
    </row>
    <row r="67" spans="1:26" s="28" customFormat="1" outlineLevel="1" collapsed="1" x14ac:dyDescent="0.3">
      <c r="A67" s="27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5761.42</v>
      </c>
      <c r="E67" s="1"/>
      <c r="F67" s="5">
        <f t="shared" si="36"/>
        <v>5.3908667521575908E-3</v>
      </c>
      <c r="G67" s="1"/>
      <c r="H67" s="1">
        <f>SUM(OSRRefH22_10x_0)</f>
        <v>5680</v>
      </c>
      <c r="I67" s="1"/>
      <c r="J67" s="5">
        <f t="shared" si="37"/>
        <v>5.8345993797656506E-3</v>
      </c>
      <c r="K67" s="1"/>
      <c r="L67" s="1">
        <f t="shared" si="38"/>
        <v>81.420000000000073</v>
      </c>
      <c r="M67" s="1"/>
      <c r="N67" s="5">
        <f t="shared" si="39"/>
        <v>1.4334507042253534E-2</v>
      </c>
      <c r="O67" s="14"/>
      <c r="P67" s="1">
        <f>SUM(OSRRefP22_10x_0)</f>
        <v>41451.53</v>
      </c>
      <c r="Q67" s="1"/>
      <c r="R67" s="5">
        <f t="shared" si="40"/>
        <v>6.495213564689367E-3</v>
      </c>
      <c r="S67" s="1"/>
      <c r="T67" s="1">
        <f>SUM(OSRRefT22_10x_0)</f>
        <v>34080</v>
      </c>
      <c r="U67" s="1"/>
      <c r="V67" s="5">
        <f t="shared" si="41"/>
        <v>6.7945997286945042E-3</v>
      </c>
      <c r="W67" s="1"/>
      <c r="X67" s="1">
        <f t="shared" si="42"/>
        <v>7371.5299999999988</v>
      </c>
      <c r="Y67" s="1"/>
      <c r="Z67" s="5">
        <f t="shared" si="43"/>
        <v>0.21630076291079808</v>
      </c>
    </row>
    <row r="68" spans="1:26" s="24" customFormat="1" hidden="1" outlineLevel="2" x14ac:dyDescent="0.3">
      <c r="A68" s="29"/>
      <c r="B68" s="11" t="str">
        <f>CONCATENATE("          ", "6314", " - ", "LIABILITY INSURANCE")</f>
        <v xml:space="preserve">          6314 - LIABILITY INSURANCE</v>
      </c>
      <c r="C68" s="11"/>
      <c r="D68" s="6">
        <v>5761.42</v>
      </c>
      <c r="E68" s="2"/>
      <c r="F68" s="7">
        <f t="shared" si="36"/>
        <v>5.3908667521575908E-3</v>
      </c>
      <c r="G68" s="2"/>
      <c r="H68" s="6">
        <v>5680</v>
      </c>
      <c r="I68" s="2"/>
      <c r="J68" s="7">
        <f t="shared" si="37"/>
        <v>5.8345993797656506E-3</v>
      </c>
      <c r="K68" s="2"/>
      <c r="L68" s="6">
        <f t="shared" si="38"/>
        <v>81.420000000000073</v>
      </c>
      <c r="M68" s="2"/>
      <c r="N68" s="7">
        <f t="shared" si="39"/>
        <v>1.4334507042253534E-2</v>
      </c>
      <c r="O68" s="11"/>
      <c r="P68" s="6">
        <v>41451.53</v>
      </c>
      <c r="Q68" s="2"/>
      <c r="R68" s="7">
        <f t="shared" si="40"/>
        <v>6.495213564689367E-3</v>
      </c>
      <c r="S68" s="2"/>
      <c r="T68" s="6">
        <v>34080</v>
      </c>
      <c r="U68" s="2"/>
      <c r="V68" s="7">
        <f t="shared" si="41"/>
        <v>6.7945997286945042E-3</v>
      </c>
      <c r="W68" s="2"/>
      <c r="X68" s="6">
        <f t="shared" si="42"/>
        <v>7371.5299999999988</v>
      </c>
      <c r="Y68" s="2"/>
      <c r="Z68" s="7">
        <f t="shared" si="43"/>
        <v>0.21630076291079808</v>
      </c>
    </row>
    <row r="69" spans="1:26" s="28" customFormat="1" outlineLevel="1" collapsed="1" x14ac:dyDescent="0.3">
      <c r="A69" s="27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7253</v>
      </c>
      <c r="E69" s="1"/>
      <c r="F69" s="5">
        <f t="shared" si="36"/>
        <v>6.786513837456566E-3</v>
      </c>
      <c r="G69" s="1"/>
      <c r="H69" s="1">
        <f>SUM(OSRRefH22_11x_0)</f>
        <v>7253</v>
      </c>
      <c r="I69" s="1"/>
      <c r="J69" s="5">
        <f t="shared" si="37"/>
        <v>7.4504136094084971E-3</v>
      </c>
      <c r="K69" s="1"/>
      <c r="L69" s="1">
        <f t="shared" si="38"/>
        <v>0</v>
      </c>
      <c r="M69" s="1"/>
      <c r="N69" s="5">
        <f t="shared" si="39"/>
        <v>0</v>
      </c>
      <c r="O69" s="14"/>
      <c r="P69" s="1">
        <f>SUM(OSRRefP22_11x_0)</f>
        <v>43004</v>
      </c>
      <c r="Q69" s="1"/>
      <c r="R69" s="5">
        <f t="shared" si="40"/>
        <v>6.738476580620825E-3</v>
      </c>
      <c r="S69" s="1"/>
      <c r="T69" s="1">
        <f>SUM(OSRRefT22_11x_0)</f>
        <v>43518</v>
      </c>
      <c r="U69" s="1"/>
      <c r="V69" s="5">
        <f t="shared" si="41"/>
        <v>8.6762732098981041E-3</v>
      </c>
      <c r="W69" s="1"/>
      <c r="X69" s="1">
        <f t="shared" si="42"/>
        <v>-514</v>
      </c>
      <c r="Y69" s="1"/>
      <c r="Z69" s="5">
        <f t="shared" si="43"/>
        <v>-1.1811204559033044E-2</v>
      </c>
    </row>
    <row r="70" spans="1:26" s="24" customFormat="1" hidden="1" outlineLevel="2" x14ac:dyDescent="0.3">
      <c r="A70" s="29"/>
      <c r="B70" s="11" t="str">
        <f>CONCATENATE("          ", "6401", " - ", "INTEREST EXPENSE")</f>
        <v xml:space="preserve">          6401 - INTEREST EXPENSE</v>
      </c>
      <c r="C70" s="11"/>
      <c r="D70" s="6">
        <v>7253</v>
      </c>
      <c r="E70" s="2"/>
      <c r="F70" s="7">
        <f t="shared" si="36"/>
        <v>6.786513837456566E-3</v>
      </c>
      <c r="G70" s="2"/>
      <c r="H70" s="6">
        <v>7253</v>
      </c>
      <c r="I70" s="2"/>
      <c r="J70" s="7">
        <f t="shared" si="37"/>
        <v>7.4504136094084971E-3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43004</v>
      </c>
      <c r="Q70" s="2"/>
      <c r="R70" s="7">
        <f t="shared" si="40"/>
        <v>6.738476580620825E-3</v>
      </c>
      <c r="S70" s="2"/>
      <c r="T70" s="6">
        <v>43518</v>
      </c>
      <c r="U70" s="2"/>
      <c r="V70" s="7">
        <f t="shared" si="41"/>
        <v>8.6762732098981041E-3</v>
      </c>
      <c r="W70" s="2"/>
      <c r="X70" s="6">
        <f t="shared" si="42"/>
        <v>-514</v>
      </c>
      <c r="Y70" s="2"/>
      <c r="Z70" s="7">
        <f t="shared" si="43"/>
        <v>-1.1811204559033044E-2</v>
      </c>
    </row>
    <row r="71" spans="1:26" s="28" customFormat="1" outlineLevel="1" collapsed="1" x14ac:dyDescent="0.3">
      <c r="A71" s="27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SUM(OSRRefD22_12x_0)</f>
        <v>76752.539999999994</v>
      </c>
      <c r="E71" s="1"/>
      <c r="F71" s="5">
        <f t="shared" si="36"/>
        <v>7.181610020266628E-2</v>
      </c>
      <c r="G71" s="1"/>
      <c r="H71" s="1">
        <f>SUM(OSRRefH22_12x_0)</f>
        <v>70963</v>
      </c>
      <c r="I71" s="1"/>
      <c r="J71" s="5">
        <f t="shared" si="37"/>
        <v>7.2894485173646106E-2</v>
      </c>
      <c r="K71" s="1"/>
      <c r="L71" s="1">
        <f t="shared" si="38"/>
        <v>5789.5399999999936</v>
      </c>
      <c r="M71" s="1"/>
      <c r="N71" s="5">
        <f t="shared" si="39"/>
        <v>8.1585333201809301E-2</v>
      </c>
      <c r="O71" s="14"/>
      <c r="P71" s="1">
        <f>SUM(OSRRefP22_12x_0)</f>
        <v>449668.74</v>
      </c>
      <c r="Q71" s="1"/>
      <c r="R71" s="5">
        <f t="shared" si="40"/>
        <v>7.0460475154108332E-2</v>
      </c>
      <c r="S71" s="1"/>
      <c r="T71" s="1">
        <f>SUM(OSRRefT22_12x_0)</f>
        <v>359107</v>
      </c>
      <c r="U71" s="1"/>
      <c r="V71" s="5">
        <f t="shared" si="41"/>
        <v>7.1595901548482901E-2</v>
      </c>
      <c r="W71" s="1"/>
      <c r="X71" s="1">
        <f t="shared" si="42"/>
        <v>90561.739999999991</v>
      </c>
      <c r="Y71" s="1"/>
      <c r="Z71" s="5">
        <f t="shared" si="43"/>
        <v>0.25218595014856293</v>
      </c>
    </row>
    <row r="72" spans="1:26" s="24" customFormat="1" hidden="1" outlineLevel="2" x14ac:dyDescent="0.3">
      <c r="A72" s="29"/>
      <c r="B72" s="11" t="str">
        <f>CONCATENATE("          ", "6387", " - ", "COMMISSION DUE HOUSING")</f>
        <v xml:space="preserve">          6387 - COMMISSION DUE HOUSING</v>
      </c>
      <c r="C72" s="11"/>
      <c r="D72" s="6">
        <v>76752.539999999994</v>
      </c>
      <c r="E72" s="2"/>
      <c r="F72" s="7">
        <f t="shared" si="36"/>
        <v>7.181610020266628E-2</v>
      </c>
      <c r="G72" s="2"/>
      <c r="H72" s="6">
        <v>70963</v>
      </c>
      <c r="I72" s="2"/>
      <c r="J72" s="7">
        <f t="shared" si="37"/>
        <v>7.2894485173646106E-2</v>
      </c>
      <c r="K72" s="2"/>
      <c r="L72" s="6">
        <f t="shared" si="38"/>
        <v>5789.5399999999936</v>
      </c>
      <c r="M72" s="2"/>
      <c r="N72" s="7">
        <f t="shared" si="39"/>
        <v>8.1585333201809301E-2</v>
      </c>
      <c r="O72" s="11"/>
      <c r="P72" s="6">
        <v>449668.74</v>
      </c>
      <c r="Q72" s="2"/>
      <c r="R72" s="7">
        <f t="shared" si="40"/>
        <v>7.0460475154108332E-2</v>
      </c>
      <c r="S72" s="2"/>
      <c r="T72" s="6">
        <v>359107</v>
      </c>
      <c r="U72" s="2"/>
      <c r="V72" s="7">
        <f t="shared" si="41"/>
        <v>7.1595901548482901E-2</v>
      </c>
      <c r="W72" s="2"/>
      <c r="X72" s="6">
        <f t="shared" si="42"/>
        <v>90561.739999999991</v>
      </c>
      <c r="Y72" s="2"/>
      <c r="Z72" s="7">
        <f t="shared" si="43"/>
        <v>0.25218595014856293</v>
      </c>
    </row>
    <row r="73" spans="1:26" s="28" customFormat="1" outlineLevel="1" collapsed="1" x14ac:dyDescent="0.3">
      <c r="A73" s="27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SUM(OSRRefD22_13x_0)</f>
        <v>1850</v>
      </c>
      <c r="E73" s="1"/>
      <c r="F73" s="5">
        <f t="shared" si="36"/>
        <v>1.7310148351433402E-3</v>
      </c>
      <c r="G73" s="1"/>
      <c r="H73" s="1">
        <f>SUM(OSRRefH22_13x_0)</f>
        <v>1850</v>
      </c>
      <c r="I73" s="1"/>
      <c r="J73" s="5">
        <f t="shared" si="37"/>
        <v>1.9003536712264883E-3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SUM(OSRRefP22_13x_0)</f>
        <v>11100</v>
      </c>
      <c r="Q73" s="1"/>
      <c r="R73" s="5">
        <f t="shared" si="40"/>
        <v>1.7393054144937948E-3</v>
      </c>
      <c r="S73" s="1"/>
      <c r="T73" s="1">
        <f>SUM(OSRRefT22_13x_0)</f>
        <v>11100</v>
      </c>
      <c r="U73" s="1"/>
      <c r="V73" s="5">
        <f t="shared" si="41"/>
        <v>2.2130298412121182E-3</v>
      </c>
      <c r="W73" s="1"/>
      <c r="X73" s="1">
        <f t="shared" si="42"/>
        <v>0</v>
      </c>
      <c r="Y73" s="1"/>
      <c r="Z73" s="5">
        <f t="shared" si="43"/>
        <v>0</v>
      </c>
    </row>
    <row r="74" spans="1:26" s="24" customFormat="1" hidden="1" outlineLevel="2" x14ac:dyDescent="0.3">
      <c r="A74" s="29"/>
      <c r="B74" s="11" t="str">
        <f>CONCATENATE("          ", "6273", " - ", "RENT")</f>
        <v xml:space="preserve">          6273 - RENT</v>
      </c>
      <c r="C74" s="11"/>
      <c r="D74" s="6">
        <v>1850</v>
      </c>
      <c r="E74" s="2"/>
      <c r="F74" s="7">
        <f t="shared" si="36"/>
        <v>1.7310148351433402E-3</v>
      </c>
      <c r="G74" s="2"/>
      <c r="H74" s="6">
        <v>1850</v>
      </c>
      <c r="I74" s="2"/>
      <c r="J74" s="7">
        <f t="shared" si="37"/>
        <v>1.9003536712264883E-3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>
        <v>11100</v>
      </c>
      <c r="Q74" s="2"/>
      <c r="R74" s="7">
        <f t="shared" si="40"/>
        <v>1.7393054144937948E-3</v>
      </c>
      <c r="S74" s="2"/>
      <c r="T74" s="6">
        <v>11100</v>
      </c>
      <c r="U74" s="2"/>
      <c r="V74" s="7">
        <f t="shared" si="41"/>
        <v>2.2130298412121182E-3</v>
      </c>
      <c r="W74" s="2"/>
      <c r="X74" s="6">
        <f t="shared" si="42"/>
        <v>0</v>
      </c>
      <c r="Y74" s="2"/>
      <c r="Z74" s="7">
        <f t="shared" si="43"/>
        <v>0</v>
      </c>
    </row>
    <row r="75" spans="1:26" s="28" customFormat="1" outlineLevel="1" collapsed="1" x14ac:dyDescent="0.3">
      <c r="A75" s="27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SUM(OSRRefD22_14x_0)</f>
        <v>14904.449999999999</v>
      </c>
      <c r="E75" s="1"/>
      <c r="F75" s="5">
        <f t="shared" si="36"/>
        <v>1.3945850843055219E-2</v>
      </c>
      <c r="G75" s="1"/>
      <c r="H75" s="1">
        <f>SUM(OSRRefH22_14x_0)</f>
        <v>7336</v>
      </c>
      <c r="I75" s="1"/>
      <c r="J75" s="5">
        <f t="shared" si="37"/>
        <v>7.5356727200635229E-3</v>
      </c>
      <c r="K75" s="1"/>
      <c r="L75" s="1">
        <f t="shared" si="38"/>
        <v>7568.4499999999989</v>
      </c>
      <c r="M75" s="1"/>
      <c r="N75" s="5">
        <f t="shared" si="39"/>
        <v>1.0316862050163575</v>
      </c>
      <c r="O75" s="14"/>
      <c r="P75" s="1">
        <f>SUM(OSRRefP22_14x_0)</f>
        <v>79382.78</v>
      </c>
      <c r="Q75" s="1"/>
      <c r="R75" s="5">
        <f t="shared" si="40"/>
        <v>1.2438819736177453E-2</v>
      </c>
      <c r="S75" s="1"/>
      <c r="T75" s="1">
        <f>SUM(OSRRefT22_14x_0)</f>
        <v>56564</v>
      </c>
      <c r="U75" s="1"/>
      <c r="V75" s="5">
        <f t="shared" si="41"/>
        <v>1.1277281075524528E-2</v>
      </c>
      <c r="W75" s="1"/>
      <c r="X75" s="1">
        <f t="shared" si="42"/>
        <v>22818.78</v>
      </c>
      <c r="Y75" s="1"/>
      <c r="Z75" s="5">
        <f t="shared" si="43"/>
        <v>0.40341524644650306</v>
      </c>
    </row>
    <row r="76" spans="1:26" s="24" customFormat="1" hidden="1" outlineLevel="2" x14ac:dyDescent="0.3">
      <c r="A76" s="29"/>
      <c r="B76" s="11" t="str">
        <f>CONCATENATE("          ", "6371", " - ", "COMPUTER SOFTWARE MAINTENANCE")</f>
        <v xml:space="preserve">          6371 - COMPUTER SOFTWARE MAINTENANCE</v>
      </c>
      <c r="C76" s="11"/>
      <c r="D76" s="6">
        <v>4118.3599999999997</v>
      </c>
      <c r="E76" s="2"/>
      <c r="F76" s="7">
        <f t="shared" si="36"/>
        <v>3.8534823007896897E-3</v>
      </c>
      <c r="G76" s="2"/>
      <c r="H76" s="6">
        <v>3500</v>
      </c>
      <c r="I76" s="2"/>
      <c r="J76" s="7">
        <f t="shared" si="37"/>
        <v>3.5952637023203833E-3</v>
      </c>
      <c r="K76" s="2"/>
      <c r="L76" s="6">
        <f t="shared" si="38"/>
        <v>618.35999999999967</v>
      </c>
      <c r="M76" s="2"/>
      <c r="N76" s="7">
        <f t="shared" si="39"/>
        <v>0.17667428571428562</v>
      </c>
      <c r="O76" s="11"/>
      <c r="P76" s="6">
        <v>27336.080000000002</v>
      </c>
      <c r="Q76" s="2"/>
      <c r="R76" s="7">
        <f t="shared" si="40"/>
        <v>4.2834046806338325E-3</v>
      </c>
      <c r="S76" s="2"/>
      <c r="T76" s="6">
        <v>21000</v>
      </c>
      <c r="U76" s="2"/>
      <c r="V76" s="7">
        <f t="shared" si="41"/>
        <v>4.1868132131040077E-3</v>
      </c>
      <c r="W76" s="2"/>
      <c r="X76" s="6">
        <f t="shared" si="42"/>
        <v>6336.0800000000017</v>
      </c>
      <c r="Y76" s="2"/>
      <c r="Z76" s="7">
        <f t="shared" si="43"/>
        <v>0.30171809523809534</v>
      </c>
    </row>
    <row r="77" spans="1:26" s="24" customFormat="1" hidden="1" outlineLevel="2" x14ac:dyDescent="0.3">
      <c r="A77" s="29"/>
      <c r="B77" s="11" t="str">
        <f>CONCATENATE("          ", "6373", " - ", "MAINTENANCE CONTRACTS")</f>
        <v xml:space="preserve">          6373 - MAINTENANCE CONTRACTS</v>
      </c>
      <c r="C77" s="11"/>
      <c r="D77" s="6">
        <v>4715.1000000000004</v>
      </c>
      <c r="E77" s="2"/>
      <c r="F77" s="7">
        <f t="shared" si="36"/>
        <v>4.4118421887483052E-3</v>
      </c>
      <c r="G77" s="2"/>
      <c r="H77" s="6">
        <v>1125</v>
      </c>
      <c r="I77" s="2"/>
      <c r="J77" s="7">
        <f t="shared" si="37"/>
        <v>1.1556204757458375E-3</v>
      </c>
      <c r="K77" s="2"/>
      <c r="L77" s="6">
        <f t="shared" si="38"/>
        <v>3590.1000000000004</v>
      </c>
      <c r="M77" s="2"/>
      <c r="N77" s="7">
        <f t="shared" si="39"/>
        <v>3.1912000000000003</v>
      </c>
      <c r="O77" s="11"/>
      <c r="P77" s="6">
        <v>11712.02</v>
      </c>
      <c r="Q77" s="2"/>
      <c r="R77" s="7">
        <f t="shared" si="40"/>
        <v>1.8352053874468122E-3</v>
      </c>
      <c r="S77" s="2"/>
      <c r="T77" s="6">
        <v>10685</v>
      </c>
      <c r="U77" s="2"/>
      <c r="V77" s="7">
        <f t="shared" si="41"/>
        <v>2.1302904372388722E-3</v>
      </c>
      <c r="W77" s="2"/>
      <c r="X77" s="6">
        <f t="shared" si="42"/>
        <v>1027.0200000000004</v>
      </c>
      <c r="Y77" s="2"/>
      <c r="Z77" s="7">
        <f t="shared" si="43"/>
        <v>9.611792232101081E-2</v>
      </c>
    </row>
    <row r="78" spans="1:26" s="24" customFormat="1" hidden="1" outlineLevel="2" x14ac:dyDescent="0.3">
      <c r="A78" s="29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6070.99</v>
      </c>
      <c r="E78" s="2"/>
      <c r="F78" s="7">
        <f t="shared" si="36"/>
        <v>5.680526353517225E-3</v>
      </c>
      <c r="G78" s="2"/>
      <c r="H78" s="6">
        <v>2711</v>
      </c>
      <c r="I78" s="2"/>
      <c r="J78" s="7">
        <f t="shared" si="37"/>
        <v>2.7847885419973024E-3</v>
      </c>
      <c r="K78" s="2"/>
      <c r="L78" s="6">
        <f t="shared" si="38"/>
        <v>3359.99</v>
      </c>
      <c r="M78" s="2"/>
      <c r="N78" s="7">
        <f t="shared" si="39"/>
        <v>1.2393913684987088</v>
      </c>
      <c r="O78" s="11"/>
      <c r="P78" s="6">
        <v>40334.68</v>
      </c>
      <c r="Q78" s="2"/>
      <c r="R78" s="7">
        <f t="shared" si="40"/>
        <v>6.320209668096809E-3</v>
      </c>
      <c r="S78" s="2"/>
      <c r="T78" s="6">
        <v>24879</v>
      </c>
      <c r="U78" s="2"/>
      <c r="V78" s="7">
        <f t="shared" si="41"/>
        <v>4.9601774251816482E-3</v>
      </c>
      <c r="W78" s="2"/>
      <c r="X78" s="6">
        <f t="shared" si="42"/>
        <v>15455.68</v>
      </c>
      <c r="Y78" s="2"/>
      <c r="Z78" s="7">
        <f t="shared" si="43"/>
        <v>0.62123397242654443</v>
      </c>
    </row>
    <row r="79" spans="1:26" s="28" customFormat="1" outlineLevel="1" collapsed="1" x14ac:dyDescent="0.3">
      <c r="A79" s="27"/>
      <c r="B79" s="14" t="str">
        <f>CONCATENATE("     ","Royalty &amp; Commissions                             ")</f>
        <v xml:space="preserve">     Royalty &amp; Commissions                             </v>
      </c>
      <c r="C79" s="14"/>
      <c r="D79" s="1">
        <f>SUM(OSRRefD22_15x_0)</f>
        <v>412.47</v>
      </c>
      <c r="E79" s="1"/>
      <c r="F79" s="5">
        <f t="shared" ref="F79:F86" si="44">IF(D$12=0,0,D79/D$12)</f>
        <v>3.8594145354139113E-4</v>
      </c>
      <c r="G79" s="1"/>
      <c r="H79" s="1">
        <f>SUM(OSRRefH22_15x_0)</f>
        <v>0</v>
      </c>
      <c r="I79" s="1"/>
      <c r="J79" s="5">
        <f t="shared" ref="J79:J86" si="45">IF(H$12=0,0,H79/H$12)</f>
        <v>0</v>
      </c>
      <c r="K79" s="1"/>
      <c r="L79" s="1">
        <f t="shared" ref="L79:L86" si="46">+D79-H79</f>
        <v>412.47</v>
      </c>
      <c r="M79" s="1"/>
      <c r="N79" s="5">
        <f t="shared" ref="N79:N86" si="47">IF(H79=0,0,L79/H79)</f>
        <v>0</v>
      </c>
      <c r="O79" s="14"/>
      <c r="P79" s="1">
        <f>SUM(OSRRefP22_15x_0)</f>
        <v>1844.91</v>
      </c>
      <c r="Q79" s="1"/>
      <c r="R79" s="5">
        <f t="shared" ref="R79:R86" si="48">IF(P$12=0,0,P79/P$12)</f>
        <v>2.8908666236520243E-4</v>
      </c>
      <c r="S79" s="1"/>
      <c r="T79" s="1">
        <f>SUM(OSRRefT22_15x_0)</f>
        <v>0</v>
      </c>
      <c r="U79" s="1"/>
      <c r="V79" s="5">
        <f t="shared" ref="V79:V86" si="49">IF(T$12=0,0,T79/T$12)</f>
        <v>0</v>
      </c>
      <c r="W79" s="1"/>
      <c r="X79" s="1">
        <f t="shared" ref="X79:X86" si="50">+P79-T79</f>
        <v>1844.91</v>
      </c>
      <c r="Y79" s="1"/>
      <c r="Z79" s="5">
        <f t="shared" ref="Z79:Z86" si="51">IF(T79=0,0,X79/T79)</f>
        <v>0</v>
      </c>
    </row>
    <row r="80" spans="1:26" s="24" customFormat="1" hidden="1" outlineLevel="2" x14ac:dyDescent="0.3">
      <c r="A80" s="29"/>
      <c r="B80" s="11" t="str">
        <f>CONCATENATE("          ", "6254", " - ", "ROYALTY &amp; COMMISSIONS")</f>
        <v xml:space="preserve">          6254 - ROYALTY &amp; COMMISSIONS</v>
      </c>
      <c r="C80" s="11"/>
      <c r="D80" s="6">
        <v>412.47</v>
      </c>
      <c r="E80" s="2"/>
      <c r="F80" s="7">
        <f t="shared" si="44"/>
        <v>3.8594145354139113E-4</v>
      </c>
      <c r="G80" s="2"/>
      <c r="H80" s="6"/>
      <c r="I80" s="2"/>
      <c r="J80" s="7">
        <f t="shared" si="45"/>
        <v>0</v>
      </c>
      <c r="K80" s="2"/>
      <c r="L80" s="6">
        <f t="shared" si="46"/>
        <v>412.47</v>
      </c>
      <c r="M80" s="2"/>
      <c r="N80" s="7">
        <f t="shared" si="47"/>
        <v>0</v>
      </c>
      <c r="O80" s="11"/>
      <c r="P80" s="6">
        <v>1844.91</v>
      </c>
      <c r="Q80" s="2"/>
      <c r="R80" s="7">
        <f t="shared" si="48"/>
        <v>2.8908666236520243E-4</v>
      </c>
      <c r="S80" s="2"/>
      <c r="T80" s="6"/>
      <c r="U80" s="2"/>
      <c r="V80" s="7">
        <f t="shared" si="49"/>
        <v>0</v>
      </c>
      <c r="W80" s="2"/>
      <c r="X80" s="6">
        <f t="shared" si="50"/>
        <v>1844.91</v>
      </c>
      <c r="Y80" s="2"/>
      <c r="Z80" s="7">
        <f t="shared" si="51"/>
        <v>0</v>
      </c>
    </row>
    <row r="81" spans="1:26" s="28" customFormat="1" outlineLevel="1" collapsed="1" x14ac:dyDescent="0.3">
      <c r="A81" s="27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SUM(OSRRefD22_16x_0)</f>
        <v>17538.489999999998</v>
      </c>
      <c r="E81" s="1"/>
      <c r="F81" s="5">
        <f t="shared" si="44"/>
        <v>1.6410479122169253E-2</v>
      </c>
      <c r="G81" s="1"/>
      <c r="H81" s="1">
        <f>SUM(OSRRefH22_16x_0)</f>
        <v>32267</v>
      </c>
      <c r="I81" s="1"/>
      <c r="J81" s="5">
        <f t="shared" si="45"/>
        <v>3.3145249680791945E-2</v>
      </c>
      <c r="K81" s="1"/>
      <c r="L81" s="1">
        <f t="shared" si="46"/>
        <v>-14728.510000000002</v>
      </c>
      <c r="M81" s="1"/>
      <c r="N81" s="5">
        <f t="shared" si="47"/>
        <v>-0.45645737130814773</v>
      </c>
      <c r="O81" s="14"/>
      <c r="P81" s="1">
        <f>SUM(OSRRefP22_16x_0)</f>
        <v>139184.47999999998</v>
      </c>
      <c r="Q81" s="1"/>
      <c r="R81" s="5">
        <f t="shared" si="48"/>
        <v>2.1809398169144439E-2</v>
      </c>
      <c r="S81" s="1"/>
      <c r="T81" s="1">
        <f>SUM(OSRRefT22_16x_0)</f>
        <v>188033</v>
      </c>
      <c r="U81" s="1"/>
      <c r="V81" s="5">
        <f t="shared" si="49"/>
        <v>3.7488526138075517E-2</v>
      </c>
      <c r="W81" s="1"/>
      <c r="X81" s="1">
        <f t="shared" si="50"/>
        <v>-48848.520000000019</v>
      </c>
      <c r="Y81" s="1"/>
      <c r="Z81" s="5">
        <f t="shared" si="51"/>
        <v>-0.25978695229028959</v>
      </c>
    </row>
    <row r="82" spans="1:26" s="24" customFormat="1" hidden="1" outlineLevel="2" x14ac:dyDescent="0.3">
      <c r="A82" s="29"/>
      <c r="B82" s="11" t="str">
        <f>CONCATENATE("          ", "6282", " - ", "JANITORIAL/EXTERMINATOR EXPENS")</f>
        <v xml:space="preserve">          6282 - JANITORIAL/EXTERMINATOR EXPENS</v>
      </c>
      <c r="C82" s="11"/>
      <c r="D82" s="6">
        <v>1868.9</v>
      </c>
      <c r="E82" s="2"/>
      <c r="F82" s="7">
        <f t="shared" si="44"/>
        <v>1.7486992569726424E-3</v>
      </c>
      <c r="G82" s="2"/>
      <c r="H82" s="6">
        <v>2698</v>
      </c>
      <c r="I82" s="2"/>
      <c r="J82" s="7">
        <f t="shared" si="45"/>
        <v>2.7714347053886838E-3</v>
      </c>
      <c r="K82" s="2"/>
      <c r="L82" s="6">
        <f t="shared" si="46"/>
        <v>-829.09999999999991</v>
      </c>
      <c r="M82" s="2"/>
      <c r="N82" s="7">
        <f t="shared" si="47"/>
        <v>-0.30730170496664194</v>
      </c>
      <c r="O82" s="11"/>
      <c r="P82" s="6">
        <v>16433.580000000002</v>
      </c>
      <c r="Q82" s="2"/>
      <c r="R82" s="7">
        <f t="shared" si="48"/>
        <v>2.5750463669835084E-3</v>
      </c>
      <c r="S82" s="2"/>
      <c r="T82" s="6">
        <v>16088</v>
      </c>
      <c r="U82" s="2"/>
      <c r="V82" s="7">
        <f t="shared" si="49"/>
        <v>3.2074976653532036E-3</v>
      </c>
      <c r="W82" s="2"/>
      <c r="X82" s="6">
        <f t="shared" si="50"/>
        <v>345.58000000000175</v>
      </c>
      <c r="Y82" s="2"/>
      <c r="Z82" s="7">
        <f t="shared" si="51"/>
        <v>2.1480606663351675E-2</v>
      </c>
    </row>
    <row r="83" spans="1:26" s="24" customFormat="1" hidden="1" outlineLevel="2" x14ac:dyDescent="0.3">
      <c r="A83" s="29"/>
      <c r="B83" s="11" t="str">
        <f>CONCATENATE("          ", "6283", " - ", "PLANT SERVICE")</f>
        <v xml:space="preserve">          6283 - PLANT SERVICE</v>
      </c>
      <c r="C83" s="11"/>
      <c r="D83" s="6"/>
      <c r="E83" s="2"/>
      <c r="F83" s="7">
        <f t="shared" si="44"/>
        <v>0</v>
      </c>
      <c r="G83" s="2"/>
      <c r="H83" s="6">
        <v>100</v>
      </c>
      <c r="I83" s="2"/>
      <c r="J83" s="7">
        <f t="shared" si="45"/>
        <v>1.0272182006629666E-4</v>
      </c>
      <c r="K83" s="2"/>
      <c r="L83" s="6">
        <f t="shared" si="46"/>
        <v>-100</v>
      </c>
      <c r="M83" s="2"/>
      <c r="N83" s="7">
        <f t="shared" si="47"/>
        <v>-1</v>
      </c>
      <c r="O83" s="11"/>
      <c r="P83" s="6"/>
      <c r="Q83" s="2"/>
      <c r="R83" s="7">
        <f t="shared" si="48"/>
        <v>0</v>
      </c>
      <c r="S83" s="2"/>
      <c r="T83" s="6">
        <v>600</v>
      </c>
      <c r="U83" s="2"/>
      <c r="V83" s="7">
        <f t="shared" si="49"/>
        <v>1.196232346601145E-4</v>
      </c>
      <c r="W83" s="2"/>
      <c r="X83" s="6">
        <f t="shared" si="50"/>
        <v>-600</v>
      </c>
      <c r="Y83" s="2"/>
      <c r="Z83" s="7">
        <f t="shared" si="51"/>
        <v>-1</v>
      </c>
    </row>
    <row r="84" spans="1:26" s="24" customFormat="1" hidden="1" outlineLevel="2" x14ac:dyDescent="0.3">
      <c r="A84" s="29"/>
      <c r="B84" s="11" t="str">
        <f>CONCATENATE("          ", "6284", " - ", "TRASH REMOVAL EXPENSE")</f>
        <v xml:space="preserve">          6284 - TRASH REMOVAL EXPENSE</v>
      </c>
      <c r="C84" s="11"/>
      <c r="D84" s="6"/>
      <c r="E84" s="2"/>
      <c r="F84" s="7">
        <f t="shared" si="44"/>
        <v>0</v>
      </c>
      <c r="G84" s="2"/>
      <c r="H84" s="6">
        <v>1600</v>
      </c>
      <c r="I84" s="2"/>
      <c r="J84" s="7">
        <f t="shared" si="45"/>
        <v>1.6435491210607465E-3</v>
      </c>
      <c r="K84" s="2"/>
      <c r="L84" s="6">
        <f t="shared" si="46"/>
        <v>-1600</v>
      </c>
      <c r="M84" s="2"/>
      <c r="N84" s="7">
        <f t="shared" si="47"/>
        <v>-1</v>
      </c>
      <c r="O84" s="11"/>
      <c r="P84" s="6"/>
      <c r="Q84" s="2"/>
      <c r="R84" s="7">
        <f t="shared" si="48"/>
        <v>0</v>
      </c>
      <c r="S84" s="2"/>
      <c r="T84" s="6">
        <v>9600</v>
      </c>
      <c r="U84" s="2"/>
      <c r="V84" s="7">
        <f t="shared" si="49"/>
        <v>1.9139717545618321E-3</v>
      </c>
      <c r="W84" s="2"/>
      <c r="X84" s="6">
        <f t="shared" si="50"/>
        <v>-9600</v>
      </c>
      <c r="Y84" s="2"/>
      <c r="Z84" s="7">
        <f t="shared" si="51"/>
        <v>-1</v>
      </c>
    </row>
    <row r="85" spans="1:26" s="24" customFormat="1" hidden="1" outlineLevel="2" x14ac:dyDescent="0.3">
      <c r="A85" s="29"/>
      <c r="B85" s="11" t="str">
        <f>CONCATENATE("          ", "6285", " - ", "JANITORIAL SERVICES")</f>
        <v xml:space="preserve">          6285 - JANITORIAL SERVICES</v>
      </c>
      <c r="C85" s="11"/>
      <c r="D85" s="6">
        <v>13631.9</v>
      </c>
      <c r="E85" s="2"/>
      <c r="F85" s="7">
        <f t="shared" si="44"/>
        <v>1.2755146557400268E-2</v>
      </c>
      <c r="G85" s="2"/>
      <c r="H85" s="6">
        <v>22559</v>
      </c>
      <c r="I85" s="2"/>
      <c r="J85" s="7">
        <f t="shared" si="45"/>
        <v>2.3173015388755863E-2</v>
      </c>
      <c r="K85" s="2"/>
      <c r="L85" s="6">
        <f t="shared" si="46"/>
        <v>-8927.1</v>
      </c>
      <c r="M85" s="2"/>
      <c r="N85" s="7">
        <f t="shared" si="47"/>
        <v>-0.39572232811738112</v>
      </c>
      <c r="O85" s="11"/>
      <c r="P85" s="6">
        <v>105695.98</v>
      </c>
      <c r="Q85" s="2"/>
      <c r="R85" s="7">
        <f t="shared" si="48"/>
        <v>1.6561945072452958E-2</v>
      </c>
      <c r="S85" s="2"/>
      <c r="T85" s="6">
        <v>131046</v>
      </c>
      <c r="U85" s="2"/>
      <c r="V85" s="7">
        <f t="shared" si="49"/>
        <v>2.612691068211561E-2</v>
      </c>
      <c r="W85" s="2"/>
      <c r="X85" s="6">
        <f t="shared" si="50"/>
        <v>-25350.020000000004</v>
      </c>
      <c r="Y85" s="2"/>
      <c r="Z85" s="7">
        <f t="shared" si="51"/>
        <v>-0.19344367626634926</v>
      </c>
    </row>
    <row r="86" spans="1:26" s="24" customFormat="1" hidden="1" outlineLevel="2" x14ac:dyDescent="0.3">
      <c r="A86" s="29"/>
      <c r="B86" s="11" t="str">
        <f>CONCATENATE("          ", "6286", " - ", "LAUNDRY EXPENSE")</f>
        <v xml:space="preserve">          6286 - LAUNDRY EXPENSE</v>
      </c>
      <c r="C86" s="11"/>
      <c r="D86" s="6">
        <v>2037.69</v>
      </c>
      <c r="E86" s="2"/>
      <c r="F86" s="7">
        <f t="shared" si="44"/>
        <v>1.906633307796342E-3</v>
      </c>
      <c r="G86" s="2"/>
      <c r="H86" s="6">
        <v>5310</v>
      </c>
      <c r="I86" s="2"/>
      <c r="J86" s="7">
        <f t="shared" si="45"/>
        <v>5.4545286455203526E-3</v>
      </c>
      <c r="K86" s="2"/>
      <c r="L86" s="6">
        <f t="shared" si="46"/>
        <v>-3272.31</v>
      </c>
      <c r="M86" s="2"/>
      <c r="N86" s="7">
        <f t="shared" si="47"/>
        <v>-0.61625423728813555</v>
      </c>
      <c r="O86" s="11"/>
      <c r="P86" s="6">
        <v>17054.919999999998</v>
      </c>
      <c r="Q86" s="2"/>
      <c r="R86" s="7">
        <f t="shared" si="48"/>
        <v>2.6724067297079737E-3</v>
      </c>
      <c r="S86" s="2"/>
      <c r="T86" s="6">
        <v>30699</v>
      </c>
      <c r="U86" s="2"/>
      <c r="V86" s="7">
        <f t="shared" si="49"/>
        <v>6.1205228013847587E-3</v>
      </c>
      <c r="W86" s="2"/>
      <c r="X86" s="6">
        <f t="shared" si="50"/>
        <v>-13644.080000000002</v>
      </c>
      <c r="Y86" s="2"/>
      <c r="Z86" s="7">
        <f t="shared" si="51"/>
        <v>-0.44444705039252097</v>
      </c>
    </row>
    <row r="87" spans="1:26" s="28" customFormat="1" outlineLevel="1" collapsed="1" x14ac:dyDescent="0.3">
      <c r="A87" s="27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SUM(OSRRefD22_17x_0)</f>
        <v>1456.11</v>
      </c>
      <c r="E87" s="1"/>
      <c r="F87" s="5">
        <f t="shared" ref="F87:F89" si="52">IF(D$12=0,0,D87/D$12)</f>
        <v>1.3624583846489561E-3</v>
      </c>
      <c r="G87" s="1"/>
      <c r="H87" s="1">
        <f>SUM(OSRRefH22_17x_0)</f>
        <v>610</v>
      </c>
      <c r="I87" s="1"/>
      <c r="J87" s="5">
        <f t="shared" ref="J87:J89" si="53">IF(H$12=0,0,H87/H$12)</f>
        <v>6.266031024044096E-4</v>
      </c>
      <c r="K87" s="1"/>
      <c r="L87" s="1">
        <f t="shared" ref="L87:L89" si="54">+D87-H87</f>
        <v>846.1099999999999</v>
      </c>
      <c r="M87" s="1"/>
      <c r="N87" s="5">
        <f t="shared" ref="N87:N89" si="55">IF(H87=0,0,L87/H87)</f>
        <v>1.3870655737704916</v>
      </c>
      <c r="O87" s="14"/>
      <c r="P87" s="1">
        <f>SUM(OSRRefP22_17x_0)</f>
        <v>3972.61</v>
      </c>
      <c r="Q87" s="1"/>
      <c r="R87" s="5">
        <f t="shared" ref="R87:R89" si="56">IF(P$12=0,0,P87/P$12)</f>
        <v>6.2248487231281028E-4</v>
      </c>
      <c r="S87" s="1"/>
      <c r="T87" s="1">
        <f>SUM(OSRRefT22_17x_0)</f>
        <v>4225</v>
      </c>
      <c r="U87" s="1"/>
      <c r="V87" s="5">
        <f t="shared" ref="V87:V89" si="57">IF(T$12=0,0,T87/T$12)</f>
        <v>8.4234694406497301E-4</v>
      </c>
      <c r="W87" s="1"/>
      <c r="X87" s="1">
        <f t="shared" ref="X87:X89" si="58">+P87-T87</f>
        <v>-252.38999999999987</v>
      </c>
      <c r="Y87" s="1"/>
      <c r="Z87" s="5">
        <f t="shared" ref="Z87:Z89" si="59">IF(T87=0,0,X87/T87)</f>
        <v>-5.9737278106508848E-2</v>
      </c>
    </row>
    <row r="88" spans="1:26" s="24" customFormat="1" hidden="1" outlineLevel="2" x14ac:dyDescent="0.3">
      <c r="A88" s="29"/>
      <c r="B88" s="11" t="str">
        <f>CONCATENATE("          ", "6258", " - ", "MEMBERSHIP DUES")</f>
        <v xml:space="preserve">          6258 - MEMBERSHIP DUES</v>
      </c>
      <c r="C88" s="11"/>
      <c r="D88" s="6"/>
      <c r="E88" s="2"/>
      <c r="F88" s="7">
        <f t="shared" si="52"/>
        <v>0</v>
      </c>
      <c r="G88" s="2"/>
      <c r="H88" s="6"/>
      <c r="I88" s="2"/>
      <c r="J88" s="7">
        <f t="shared" si="53"/>
        <v>0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/>
      <c r="Q88" s="2"/>
      <c r="R88" s="7">
        <f t="shared" si="56"/>
        <v>0</v>
      </c>
      <c r="S88" s="2"/>
      <c r="T88" s="6">
        <v>795</v>
      </c>
      <c r="U88" s="2"/>
      <c r="V88" s="7">
        <f t="shared" si="57"/>
        <v>1.5850078592465172E-4</v>
      </c>
      <c r="W88" s="2"/>
      <c r="X88" s="6">
        <f t="shared" si="58"/>
        <v>-795</v>
      </c>
      <c r="Y88" s="2"/>
      <c r="Z88" s="7">
        <f t="shared" si="59"/>
        <v>-1</v>
      </c>
    </row>
    <row r="89" spans="1:26" s="24" customFormat="1" hidden="1" outlineLevel="2" x14ac:dyDescent="0.3">
      <c r="A89" s="29"/>
      <c r="B89" s="11" t="str">
        <f>CONCATENATE("          ", "6275", " - ", "SUBSCRIPTIONS")</f>
        <v xml:space="preserve">          6275 - SUBSCRIPTIONS</v>
      </c>
      <c r="C89" s="11"/>
      <c r="D89" s="6">
        <v>1456.11</v>
      </c>
      <c r="E89" s="2"/>
      <c r="F89" s="7">
        <f t="shared" si="52"/>
        <v>1.3624583846489561E-3</v>
      </c>
      <c r="G89" s="2"/>
      <c r="H89" s="6">
        <v>610</v>
      </c>
      <c r="I89" s="2"/>
      <c r="J89" s="7">
        <f t="shared" si="53"/>
        <v>6.266031024044096E-4</v>
      </c>
      <c r="K89" s="2"/>
      <c r="L89" s="6">
        <f t="shared" si="54"/>
        <v>846.1099999999999</v>
      </c>
      <c r="M89" s="2"/>
      <c r="N89" s="7">
        <f t="shared" si="55"/>
        <v>1.3870655737704916</v>
      </c>
      <c r="O89" s="11"/>
      <c r="P89" s="6">
        <v>3972.61</v>
      </c>
      <c r="Q89" s="2"/>
      <c r="R89" s="7">
        <f t="shared" si="56"/>
        <v>6.2248487231281028E-4</v>
      </c>
      <c r="S89" s="2"/>
      <c r="T89" s="6">
        <v>3430</v>
      </c>
      <c r="U89" s="2"/>
      <c r="V89" s="7">
        <f t="shared" si="57"/>
        <v>6.8384615814032126E-4</v>
      </c>
      <c r="W89" s="2"/>
      <c r="X89" s="6">
        <f t="shared" si="58"/>
        <v>542.61000000000013</v>
      </c>
      <c r="Y89" s="2"/>
      <c r="Z89" s="7">
        <f t="shared" si="59"/>
        <v>0.15819533527696797</v>
      </c>
    </row>
    <row r="90" spans="1:26" s="28" customFormat="1" outlineLevel="1" collapsed="1" x14ac:dyDescent="0.3">
      <c r="A90" s="27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SUM(OSRRefD22_18x_0)</f>
        <v>31034.079999999998</v>
      </c>
      <c r="E90" s="1"/>
      <c r="F90" s="5">
        <f t="shared" ref="F90:F100" si="60">IF(D$12=0,0,D90/D$12)</f>
        <v>2.903808263514877E-2</v>
      </c>
      <c r="G90" s="1"/>
      <c r="H90" s="1">
        <f>SUM(OSRRefH22_18x_0)</f>
        <v>31125</v>
      </c>
      <c r="I90" s="1"/>
      <c r="J90" s="5">
        <f t="shared" ref="J90:J100" si="61">IF(H$12=0,0,H90/H$12)</f>
        <v>3.1972166495634835E-2</v>
      </c>
      <c r="K90" s="1"/>
      <c r="L90" s="1">
        <f t="shared" ref="L90:L100" si="62">+D90-H90</f>
        <v>-90.920000000001892</v>
      </c>
      <c r="M90" s="1"/>
      <c r="N90" s="5">
        <f t="shared" ref="N90:N100" si="63">IF(H90=0,0,L90/H90)</f>
        <v>-2.9211244979920285E-3</v>
      </c>
      <c r="O90" s="14"/>
      <c r="P90" s="1">
        <f>SUM(OSRRefP22_18x_0)</f>
        <v>227757.68</v>
      </c>
      <c r="Q90" s="1"/>
      <c r="R90" s="5">
        <f t="shared" ref="R90:R100" si="64">IF(P$12=0,0,P90/P$12)</f>
        <v>3.5688303244733793E-2</v>
      </c>
      <c r="S90" s="1"/>
      <c r="T90" s="1">
        <f>SUM(OSRRefT22_18x_0)</f>
        <v>206848</v>
      </c>
      <c r="U90" s="1"/>
      <c r="V90" s="5">
        <f t="shared" ref="V90:V100" si="65">IF(T$12=0,0,T90/T$12)</f>
        <v>4.123971140495894E-2</v>
      </c>
      <c r="W90" s="1"/>
      <c r="X90" s="1">
        <f t="shared" ref="X90:X100" si="66">+P90-T90</f>
        <v>20909.679999999993</v>
      </c>
      <c r="Y90" s="1"/>
      <c r="Z90" s="5">
        <f t="shared" ref="Z90:Z100" si="67">IF(T90=0,0,X90/T90)</f>
        <v>0.10108717512376235</v>
      </c>
    </row>
    <row r="91" spans="1:26" s="24" customFormat="1" hidden="1" outlineLevel="2" x14ac:dyDescent="0.3">
      <c r="A91" s="29"/>
      <c r="B91" s="11" t="str">
        <f>CONCATENATE("          ", "6234", " - ", "EXPENDABLE SUPPLIES &amp; EQUIPMEN")</f>
        <v xml:space="preserve">          6234 - EXPENDABLE SUPPLIES &amp; EQUIPMEN</v>
      </c>
      <c r="C91" s="11"/>
      <c r="D91" s="6">
        <v>315</v>
      </c>
      <c r="E91" s="2"/>
      <c r="F91" s="7">
        <f t="shared" si="60"/>
        <v>2.9474036382170387E-4</v>
      </c>
      <c r="G91" s="2"/>
      <c r="H91" s="6">
        <v>342</v>
      </c>
      <c r="I91" s="2"/>
      <c r="J91" s="7">
        <f t="shared" si="61"/>
        <v>3.513086246267346E-4</v>
      </c>
      <c r="K91" s="2"/>
      <c r="L91" s="6">
        <f t="shared" si="62"/>
        <v>-27</v>
      </c>
      <c r="M91" s="2"/>
      <c r="N91" s="7">
        <f t="shared" si="63"/>
        <v>-7.8947368421052627E-2</v>
      </c>
      <c r="O91" s="11"/>
      <c r="P91" s="6">
        <v>336.98</v>
      </c>
      <c r="Q91" s="2"/>
      <c r="R91" s="7">
        <f t="shared" si="64"/>
        <v>5.2802805277127838E-5</v>
      </c>
      <c r="S91" s="2"/>
      <c r="T91" s="6">
        <v>2052</v>
      </c>
      <c r="U91" s="2"/>
      <c r="V91" s="7">
        <f t="shared" si="65"/>
        <v>4.091114625375916E-4</v>
      </c>
      <c r="W91" s="2"/>
      <c r="X91" s="6">
        <f t="shared" si="66"/>
        <v>-1715.02</v>
      </c>
      <c r="Y91" s="2"/>
      <c r="Z91" s="7">
        <f t="shared" si="67"/>
        <v>-0.83577972709551651</v>
      </c>
    </row>
    <row r="92" spans="1:26" s="24" customFormat="1" hidden="1" outlineLevel="2" x14ac:dyDescent="0.3">
      <c r="A92" s="29"/>
      <c r="B92" s="11" t="str">
        <f>CONCATENATE("          ", "6235", " - ", "COVID-19 EXPENSES")</f>
        <v xml:space="preserve">          6235 - COVID-19 EXPENSES</v>
      </c>
      <c r="C92" s="11"/>
      <c r="D92" s="6"/>
      <c r="E92" s="2"/>
      <c r="F92" s="7">
        <f t="shared" si="60"/>
        <v>0</v>
      </c>
      <c r="G92" s="2"/>
      <c r="H92" s="6">
        <v>250</v>
      </c>
      <c r="I92" s="2"/>
      <c r="J92" s="7">
        <f t="shared" si="61"/>
        <v>2.5680455016574165E-4</v>
      </c>
      <c r="K92" s="2"/>
      <c r="L92" s="6">
        <f t="shared" si="62"/>
        <v>-250</v>
      </c>
      <c r="M92" s="2"/>
      <c r="N92" s="7">
        <f t="shared" si="63"/>
        <v>-1</v>
      </c>
      <c r="O92" s="11"/>
      <c r="P92" s="6">
        <v>193.5</v>
      </c>
      <c r="Q92" s="2"/>
      <c r="R92" s="7">
        <f t="shared" si="64"/>
        <v>3.0320324117526964E-5</v>
      </c>
      <c r="S92" s="2"/>
      <c r="T92" s="6">
        <v>1750</v>
      </c>
      <c r="U92" s="2"/>
      <c r="V92" s="7">
        <f t="shared" si="65"/>
        <v>3.4890110109200064E-4</v>
      </c>
      <c r="W92" s="2"/>
      <c r="X92" s="6">
        <f t="shared" si="66"/>
        <v>-1556.5</v>
      </c>
      <c r="Y92" s="2"/>
      <c r="Z92" s="7">
        <f t="shared" si="67"/>
        <v>-0.88942857142857146</v>
      </c>
    </row>
    <row r="93" spans="1:26" s="24" customFormat="1" hidden="1" outlineLevel="2" x14ac:dyDescent="0.3">
      <c r="A93" s="29"/>
      <c r="B93" s="11" t="str">
        <f>CONCATENATE("          ", "6237", " - ", "JANITORIAL SUPPLIES")</f>
        <v xml:space="preserve">          6237 - JANITORIAL SUPPLIES</v>
      </c>
      <c r="C93" s="11"/>
      <c r="D93" s="6">
        <v>5551.25</v>
      </c>
      <c r="E93" s="2"/>
      <c r="F93" s="7">
        <f t="shared" si="60"/>
        <v>5.194214110048361E-3</v>
      </c>
      <c r="G93" s="2"/>
      <c r="H93" s="6">
        <v>9975</v>
      </c>
      <c r="I93" s="2"/>
      <c r="J93" s="7">
        <f t="shared" si="61"/>
        <v>1.0246501551613092E-2</v>
      </c>
      <c r="K93" s="2"/>
      <c r="L93" s="6">
        <f t="shared" si="62"/>
        <v>-4423.75</v>
      </c>
      <c r="M93" s="2"/>
      <c r="N93" s="7">
        <f t="shared" si="63"/>
        <v>-0.44348370927318298</v>
      </c>
      <c r="O93" s="11"/>
      <c r="P93" s="6">
        <v>37645.230000000003</v>
      </c>
      <c r="Q93" s="2"/>
      <c r="R93" s="7">
        <f t="shared" si="64"/>
        <v>5.8987885016994817E-3</v>
      </c>
      <c r="S93" s="2"/>
      <c r="T93" s="6">
        <v>64328</v>
      </c>
      <c r="U93" s="2"/>
      <c r="V93" s="7">
        <f t="shared" si="65"/>
        <v>1.2825205732026409E-2</v>
      </c>
      <c r="W93" s="2"/>
      <c r="X93" s="6">
        <f t="shared" si="66"/>
        <v>-26682.769999999997</v>
      </c>
      <c r="Y93" s="2"/>
      <c r="Z93" s="7">
        <f t="shared" si="67"/>
        <v>-0.41479246984205942</v>
      </c>
    </row>
    <row r="94" spans="1:26" s="24" customFormat="1" hidden="1" outlineLevel="2" x14ac:dyDescent="0.3">
      <c r="A94" s="29"/>
      <c r="B94" s="11" t="str">
        <f>CONCATENATE("          ", "6239", " - ", "KITCHEN SUPPLIES")</f>
        <v xml:space="preserve">          6239 - KITCHEN SUPPLIES</v>
      </c>
      <c r="C94" s="11"/>
      <c r="D94" s="6">
        <v>738.59</v>
      </c>
      <c r="E94" s="2"/>
      <c r="F94" s="7">
        <f t="shared" si="60"/>
        <v>6.910866200478485E-4</v>
      </c>
      <c r="G94" s="2"/>
      <c r="H94" s="6">
        <v>3700</v>
      </c>
      <c r="I94" s="2"/>
      <c r="J94" s="7">
        <f t="shared" si="61"/>
        <v>3.8007073424529765E-3</v>
      </c>
      <c r="K94" s="2"/>
      <c r="L94" s="6">
        <f t="shared" si="62"/>
        <v>-2961.41</v>
      </c>
      <c r="M94" s="2"/>
      <c r="N94" s="7">
        <f t="shared" si="63"/>
        <v>-0.80038108108108108</v>
      </c>
      <c r="O94" s="11"/>
      <c r="P94" s="6">
        <v>27015.71</v>
      </c>
      <c r="Q94" s="2"/>
      <c r="R94" s="7">
        <f t="shared" si="64"/>
        <v>4.2332045657111853E-3</v>
      </c>
      <c r="S94" s="2"/>
      <c r="T94" s="6">
        <v>33449</v>
      </c>
      <c r="U94" s="2"/>
      <c r="V94" s="7">
        <f t="shared" si="65"/>
        <v>6.6687959602436163E-3</v>
      </c>
      <c r="W94" s="2"/>
      <c r="X94" s="6">
        <f t="shared" si="66"/>
        <v>-6433.2900000000009</v>
      </c>
      <c r="Y94" s="2"/>
      <c r="Z94" s="7">
        <f t="shared" si="67"/>
        <v>-0.19233131035307485</v>
      </c>
    </row>
    <row r="95" spans="1:26" s="24" customFormat="1" hidden="1" outlineLevel="2" x14ac:dyDescent="0.3">
      <c r="A95" s="29"/>
      <c r="B95" s="11" t="str">
        <f>CONCATENATE("          ", "6241", " - ", "OFFICE EXPENSE")</f>
        <v xml:space="preserve">          6241 - OFFICE EXPENSE</v>
      </c>
      <c r="C95" s="11"/>
      <c r="D95" s="6">
        <v>2665.46</v>
      </c>
      <c r="E95" s="2"/>
      <c r="F95" s="7">
        <f t="shared" si="60"/>
        <v>2.4940274608006309E-3</v>
      </c>
      <c r="G95" s="2"/>
      <c r="H95" s="6">
        <v>1445</v>
      </c>
      <c r="I95" s="2"/>
      <c r="J95" s="7">
        <f t="shared" si="61"/>
        <v>1.4843302999579867E-3</v>
      </c>
      <c r="K95" s="2"/>
      <c r="L95" s="6">
        <f t="shared" si="62"/>
        <v>1220.46</v>
      </c>
      <c r="M95" s="2"/>
      <c r="N95" s="7">
        <f t="shared" si="63"/>
        <v>0.84460899653979238</v>
      </c>
      <c r="O95" s="11"/>
      <c r="P95" s="6">
        <v>20274.61</v>
      </c>
      <c r="Q95" s="2"/>
      <c r="R95" s="7">
        <f t="shared" si="64"/>
        <v>3.1769134188964002E-3</v>
      </c>
      <c r="S95" s="2"/>
      <c r="T95" s="6">
        <v>11597</v>
      </c>
      <c r="U95" s="2"/>
      <c r="V95" s="7">
        <f t="shared" si="65"/>
        <v>2.3121177539222465E-3</v>
      </c>
      <c r="W95" s="2"/>
      <c r="X95" s="6">
        <f t="shared" si="66"/>
        <v>8677.61</v>
      </c>
      <c r="Y95" s="2"/>
      <c r="Z95" s="7">
        <f t="shared" si="67"/>
        <v>0.74826334396826766</v>
      </c>
    </row>
    <row r="96" spans="1:26" s="24" customFormat="1" hidden="1" outlineLevel="2" x14ac:dyDescent="0.3">
      <c r="A96" s="29"/>
      <c r="B96" s="11" t="str">
        <f>CONCATENATE("          ", "6243", " - ", "PAPER SUPPLIES")</f>
        <v xml:space="preserve">          6243 - PAPER SUPPLIES</v>
      </c>
      <c r="C96" s="11"/>
      <c r="D96" s="6">
        <v>21319.1</v>
      </c>
      <c r="E96" s="2"/>
      <c r="F96" s="7">
        <f t="shared" si="60"/>
        <v>1.9947934255083448E-2</v>
      </c>
      <c r="G96" s="2"/>
      <c r="H96" s="6">
        <v>13900</v>
      </c>
      <c r="I96" s="2"/>
      <c r="J96" s="7">
        <f t="shared" si="61"/>
        <v>1.4278332989215235E-2</v>
      </c>
      <c r="K96" s="2"/>
      <c r="L96" s="6">
        <f t="shared" si="62"/>
        <v>7419.0999999999985</v>
      </c>
      <c r="M96" s="2"/>
      <c r="N96" s="7">
        <f t="shared" si="63"/>
        <v>0.53374820143884882</v>
      </c>
      <c r="O96" s="11"/>
      <c r="P96" s="6">
        <v>133611.15</v>
      </c>
      <c r="Q96" s="2"/>
      <c r="R96" s="7">
        <f t="shared" si="64"/>
        <v>2.0936089786643478E-2</v>
      </c>
      <c r="S96" s="2"/>
      <c r="T96" s="6">
        <v>82533</v>
      </c>
      <c r="U96" s="2"/>
      <c r="V96" s="7">
        <f t="shared" si="65"/>
        <v>1.645477404367205E-2</v>
      </c>
      <c r="W96" s="2"/>
      <c r="X96" s="6">
        <f t="shared" si="66"/>
        <v>51078.149999999994</v>
      </c>
      <c r="Y96" s="2"/>
      <c r="Z96" s="7">
        <f t="shared" si="67"/>
        <v>0.61888153829377335</v>
      </c>
    </row>
    <row r="97" spans="1:26" s="24" customFormat="1" hidden="1" outlineLevel="2" x14ac:dyDescent="0.3">
      <c r="A97" s="29"/>
      <c r="B97" s="11" t="str">
        <f>CONCATENATE("          ", "6244", " - ", "SAFETY SUPPLY EXPENSE")</f>
        <v xml:space="preserve">          6244 - SAFETY SUPPLY EXPENSE</v>
      </c>
      <c r="C97" s="11"/>
      <c r="D97" s="6"/>
      <c r="E97" s="2"/>
      <c r="F97" s="7">
        <f t="shared" si="60"/>
        <v>0</v>
      </c>
      <c r="G97" s="2"/>
      <c r="H97" s="6">
        <v>575</v>
      </c>
      <c r="I97" s="2"/>
      <c r="J97" s="7">
        <f t="shared" si="61"/>
        <v>5.9065046538120576E-4</v>
      </c>
      <c r="K97" s="2"/>
      <c r="L97" s="6">
        <f t="shared" si="62"/>
        <v>-575</v>
      </c>
      <c r="M97" s="2"/>
      <c r="N97" s="7">
        <f t="shared" si="63"/>
        <v>-1</v>
      </c>
      <c r="O97" s="11"/>
      <c r="P97" s="6"/>
      <c r="Q97" s="2"/>
      <c r="R97" s="7">
        <f t="shared" si="64"/>
        <v>0</v>
      </c>
      <c r="S97" s="2"/>
      <c r="T97" s="6">
        <v>3250</v>
      </c>
      <c r="U97" s="2"/>
      <c r="V97" s="7">
        <f t="shared" si="65"/>
        <v>6.4795918774228692E-4</v>
      </c>
      <c r="W97" s="2"/>
      <c r="X97" s="6">
        <f t="shared" si="66"/>
        <v>-3250</v>
      </c>
      <c r="Y97" s="2"/>
      <c r="Z97" s="7">
        <f t="shared" si="67"/>
        <v>-1</v>
      </c>
    </row>
    <row r="98" spans="1:26" s="24" customFormat="1" hidden="1" outlineLevel="2" x14ac:dyDescent="0.3">
      <c r="A98" s="29"/>
      <c r="B98" s="11" t="str">
        <f>CONCATENATE("          ", "6245", " - ", "PRINTING")</f>
        <v xml:space="preserve">          6245 - PRINTING</v>
      </c>
      <c r="C98" s="11"/>
      <c r="D98" s="6"/>
      <c r="E98" s="2"/>
      <c r="F98" s="7">
        <f t="shared" si="60"/>
        <v>0</v>
      </c>
      <c r="G98" s="2"/>
      <c r="H98" s="6">
        <v>100</v>
      </c>
      <c r="I98" s="2"/>
      <c r="J98" s="7">
        <f t="shared" si="61"/>
        <v>1.0272182006629666E-4</v>
      </c>
      <c r="K98" s="2"/>
      <c r="L98" s="6">
        <f t="shared" si="62"/>
        <v>-100</v>
      </c>
      <c r="M98" s="2"/>
      <c r="N98" s="7">
        <f t="shared" si="63"/>
        <v>-1</v>
      </c>
      <c r="O98" s="11"/>
      <c r="P98" s="6">
        <v>1071</v>
      </c>
      <c r="Q98" s="2"/>
      <c r="R98" s="7">
        <f t="shared" si="64"/>
        <v>1.6781946837142833E-4</v>
      </c>
      <c r="S98" s="2"/>
      <c r="T98" s="6">
        <v>1100</v>
      </c>
      <c r="U98" s="2"/>
      <c r="V98" s="7">
        <f t="shared" si="65"/>
        <v>2.1930926354354327E-4</v>
      </c>
      <c r="W98" s="2"/>
      <c r="X98" s="6">
        <f t="shared" si="66"/>
        <v>-29</v>
      </c>
      <c r="Y98" s="2"/>
      <c r="Z98" s="7">
        <f t="shared" si="67"/>
        <v>-2.6363636363636363E-2</v>
      </c>
    </row>
    <row r="99" spans="1:26" s="24" customFormat="1" hidden="1" outlineLevel="2" x14ac:dyDescent="0.3">
      <c r="A99" s="29"/>
      <c r="B99" s="11" t="str">
        <f>CONCATENATE("          ", "6247", " - ", "STORE SUPPLIES")</f>
        <v xml:space="preserve">          6247 - STORE SUPPLIES</v>
      </c>
      <c r="C99" s="11"/>
      <c r="D99" s="6">
        <v>444.68</v>
      </c>
      <c r="E99" s="2"/>
      <c r="F99" s="7">
        <f t="shared" si="60"/>
        <v>4.1607982534677869E-4</v>
      </c>
      <c r="G99" s="2"/>
      <c r="H99" s="6"/>
      <c r="I99" s="2"/>
      <c r="J99" s="7">
        <f t="shared" si="61"/>
        <v>0</v>
      </c>
      <c r="K99" s="2"/>
      <c r="L99" s="6">
        <f t="shared" si="62"/>
        <v>444.68</v>
      </c>
      <c r="M99" s="2"/>
      <c r="N99" s="7">
        <f t="shared" si="63"/>
        <v>0</v>
      </c>
      <c r="O99" s="11"/>
      <c r="P99" s="6">
        <v>1745.32</v>
      </c>
      <c r="Q99" s="2"/>
      <c r="R99" s="7">
        <f t="shared" si="64"/>
        <v>2.7348148883101891E-4</v>
      </c>
      <c r="S99" s="2"/>
      <c r="T99" s="6">
        <v>411</v>
      </c>
      <c r="U99" s="2"/>
      <c r="V99" s="7">
        <f t="shared" si="65"/>
        <v>8.1941915742178437E-5</v>
      </c>
      <c r="W99" s="2"/>
      <c r="X99" s="6">
        <f t="shared" si="66"/>
        <v>1334.32</v>
      </c>
      <c r="Y99" s="2"/>
      <c r="Z99" s="7">
        <f t="shared" si="67"/>
        <v>3.2465206812652068</v>
      </c>
    </row>
    <row r="100" spans="1:26" s="24" customFormat="1" hidden="1" outlineLevel="2" x14ac:dyDescent="0.3">
      <c r="A100" s="29"/>
      <c r="B100" s="11" t="str">
        <f>CONCATENATE("          ", "6248", " - ", "UNIFORMS")</f>
        <v xml:space="preserve">          6248 - UNIFORMS</v>
      </c>
      <c r="C100" s="11"/>
      <c r="D100" s="6"/>
      <c r="E100" s="2"/>
      <c r="F100" s="7">
        <f t="shared" si="60"/>
        <v>0</v>
      </c>
      <c r="G100" s="2"/>
      <c r="H100" s="6">
        <v>838</v>
      </c>
      <c r="I100" s="2"/>
      <c r="J100" s="7">
        <f t="shared" si="61"/>
        <v>8.6080885215556607E-4</v>
      </c>
      <c r="K100" s="2"/>
      <c r="L100" s="6">
        <f t="shared" si="62"/>
        <v>-838</v>
      </c>
      <c r="M100" s="2"/>
      <c r="N100" s="7">
        <f t="shared" si="63"/>
        <v>-1</v>
      </c>
      <c r="O100" s="11"/>
      <c r="P100" s="6">
        <v>5864.18</v>
      </c>
      <c r="Q100" s="2"/>
      <c r="R100" s="7">
        <f t="shared" si="64"/>
        <v>9.1888288518614616E-4</v>
      </c>
      <c r="S100" s="2"/>
      <c r="T100" s="6">
        <v>6378</v>
      </c>
      <c r="U100" s="2"/>
      <c r="V100" s="7">
        <f t="shared" si="65"/>
        <v>1.2715949844370172E-3</v>
      </c>
      <c r="W100" s="2"/>
      <c r="X100" s="6">
        <f t="shared" si="66"/>
        <v>-513.81999999999971</v>
      </c>
      <c r="Y100" s="2"/>
      <c r="Z100" s="7">
        <f t="shared" si="67"/>
        <v>-8.0561304484164264E-2</v>
      </c>
    </row>
    <row r="101" spans="1:26" s="28" customFormat="1" outlineLevel="1" collapsed="1" x14ac:dyDescent="0.3">
      <c r="A101" s="27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SUM(OSRRefD22_19x_0)</f>
        <v>461.45</v>
      </c>
      <c r="E101" s="1"/>
      <c r="F101" s="5">
        <f t="shared" ref="F101:F103" si="68">IF(D$12=0,0,D101/D$12)</f>
        <v>4.3177124090642936E-4</v>
      </c>
      <c r="G101" s="1"/>
      <c r="H101" s="1">
        <f>SUM(OSRRefH22_19x_0)</f>
        <v>961</v>
      </c>
      <c r="I101" s="1"/>
      <c r="J101" s="5">
        <f t="shared" ref="J101:J103" si="69">IF(H$12=0,0,H101/H$12)</f>
        <v>9.8715669083711093E-4</v>
      </c>
      <c r="K101" s="1"/>
      <c r="L101" s="1">
        <f t="shared" ref="L101:L103" si="70">+D101-H101</f>
        <v>-499.55</v>
      </c>
      <c r="M101" s="1"/>
      <c r="N101" s="5">
        <f t="shared" ref="N101:N103" si="71">IF(H101=0,0,L101/H101)</f>
        <v>-0.51982310093652451</v>
      </c>
      <c r="O101" s="14"/>
      <c r="P101" s="1">
        <f>SUM(OSRRefP22_19x_0)</f>
        <v>7930.79</v>
      </c>
      <c r="Q101" s="1"/>
      <c r="R101" s="5">
        <f t="shared" ref="R101:R103" si="72">IF(P$12=0,0,P101/P$12)</f>
        <v>1.2427086475867786E-3</v>
      </c>
      <c r="S101" s="1"/>
      <c r="T101" s="1">
        <f>SUM(OSRRefT22_19x_0)</f>
        <v>6066</v>
      </c>
      <c r="U101" s="1"/>
      <c r="V101" s="5">
        <f t="shared" ref="V101:V103" si="73">IF(T$12=0,0,T101/T$12)</f>
        <v>1.2093909024137577E-3</v>
      </c>
      <c r="W101" s="1"/>
      <c r="X101" s="1">
        <f t="shared" ref="X101:X103" si="74">+P101-T101</f>
        <v>1864.79</v>
      </c>
      <c r="Y101" s="1"/>
      <c r="Z101" s="5">
        <f t="shared" ref="Z101:Z103" si="75">IF(T101=0,0,X101/T101)</f>
        <v>0.30741674909330696</v>
      </c>
    </row>
    <row r="102" spans="1:26" s="24" customFormat="1" hidden="1" outlineLevel="2" x14ac:dyDescent="0.3">
      <c r="A102" s="29"/>
      <c r="B102" s="11" t="str">
        <f>CONCATENATE("          ", "6303", " - ", "DATA PHONE LINES")</f>
        <v xml:space="preserve">          6303 - DATA PHONE LINES</v>
      </c>
      <c r="C102" s="11"/>
      <c r="D102" s="6"/>
      <c r="E102" s="2"/>
      <c r="F102" s="7">
        <f t="shared" si="68"/>
        <v>0</v>
      </c>
      <c r="G102" s="2"/>
      <c r="H102" s="6">
        <v>193</v>
      </c>
      <c r="I102" s="2"/>
      <c r="J102" s="7">
        <f t="shared" si="69"/>
        <v>1.9825311272795256E-4</v>
      </c>
      <c r="K102" s="2"/>
      <c r="L102" s="6">
        <f t="shared" si="70"/>
        <v>-193</v>
      </c>
      <c r="M102" s="2"/>
      <c r="N102" s="7">
        <f t="shared" si="71"/>
        <v>-1</v>
      </c>
      <c r="O102" s="11"/>
      <c r="P102" s="6"/>
      <c r="Q102" s="2"/>
      <c r="R102" s="7">
        <f t="shared" si="72"/>
        <v>0</v>
      </c>
      <c r="S102" s="2"/>
      <c r="T102" s="6">
        <v>1158</v>
      </c>
      <c r="U102" s="2"/>
      <c r="V102" s="7">
        <f t="shared" si="73"/>
        <v>2.3087284289402099E-4</v>
      </c>
      <c r="W102" s="2"/>
      <c r="X102" s="6">
        <f t="shared" si="74"/>
        <v>-1158</v>
      </c>
      <c r="Y102" s="2"/>
      <c r="Z102" s="7">
        <f t="shared" si="75"/>
        <v>-1</v>
      </c>
    </row>
    <row r="103" spans="1:26" s="24" customFormat="1" hidden="1" outlineLevel="2" x14ac:dyDescent="0.3">
      <c r="A103" s="29"/>
      <c r="B103" s="11" t="str">
        <f>CONCATENATE("          ", "6309", " - ", "TELEPHONE")</f>
        <v xml:space="preserve">          6309 - TELEPHONE</v>
      </c>
      <c r="C103" s="11"/>
      <c r="D103" s="6">
        <v>461.45</v>
      </c>
      <c r="E103" s="2"/>
      <c r="F103" s="7">
        <f t="shared" si="68"/>
        <v>4.3177124090642936E-4</v>
      </c>
      <c r="G103" s="2"/>
      <c r="H103" s="6">
        <v>768</v>
      </c>
      <c r="I103" s="2"/>
      <c r="J103" s="7">
        <f t="shared" si="69"/>
        <v>7.889035781091584E-4</v>
      </c>
      <c r="K103" s="2"/>
      <c r="L103" s="6">
        <f t="shared" si="70"/>
        <v>-306.55</v>
      </c>
      <c r="M103" s="2"/>
      <c r="N103" s="7">
        <f t="shared" si="71"/>
        <v>-0.39915364583333335</v>
      </c>
      <c r="O103" s="11"/>
      <c r="P103" s="6">
        <v>7930.79</v>
      </c>
      <c r="Q103" s="2"/>
      <c r="R103" s="7">
        <f t="shared" si="72"/>
        <v>1.2427086475867786E-3</v>
      </c>
      <c r="S103" s="2"/>
      <c r="T103" s="6">
        <v>4908</v>
      </c>
      <c r="U103" s="2"/>
      <c r="V103" s="7">
        <f t="shared" si="73"/>
        <v>9.7851805951973663E-4</v>
      </c>
      <c r="W103" s="2"/>
      <c r="X103" s="6">
        <f t="shared" si="74"/>
        <v>3022.79</v>
      </c>
      <c r="Y103" s="2"/>
      <c r="Z103" s="7">
        <f t="shared" si="75"/>
        <v>0.61589038304808474</v>
      </c>
    </row>
    <row r="104" spans="1:26" s="28" customFormat="1" outlineLevel="1" collapsed="1" x14ac:dyDescent="0.3">
      <c r="A104" s="27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SUM(OSRRefD22_20x_0)</f>
        <v>825</v>
      </c>
      <c r="E104" s="1"/>
      <c r="F104" s="5">
        <f t="shared" ref="F104:F108" si="76">IF(D$12=0,0,D104/D$12)</f>
        <v>7.7193904810446249E-4</v>
      </c>
      <c r="G104" s="1"/>
      <c r="H104" s="1">
        <f>SUM(OSRRefH22_20x_0)</f>
        <v>640</v>
      </c>
      <c r="I104" s="1"/>
      <c r="J104" s="5">
        <f t="shared" ref="J104:J108" si="77">IF(H$12=0,0,H104/H$12)</f>
        <v>6.5741964842429865E-4</v>
      </c>
      <c r="K104" s="1"/>
      <c r="L104" s="1">
        <f t="shared" ref="L104:L108" si="78">+D104-H104</f>
        <v>185</v>
      </c>
      <c r="M104" s="1"/>
      <c r="N104" s="5">
        <f t="shared" ref="N104:N108" si="79">IF(H104=0,0,L104/H104)</f>
        <v>0.2890625</v>
      </c>
      <c r="O104" s="14"/>
      <c r="P104" s="1">
        <f>SUM(OSRRefP22_20x_0)</f>
        <v>1070</v>
      </c>
      <c r="Q104" s="1"/>
      <c r="R104" s="5">
        <f t="shared" ref="R104:R108" si="80">IF(P$12=0,0,P104/P$12)</f>
        <v>1.6766277418994239E-4</v>
      </c>
      <c r="S104" s="1"/>
      <c r="T104" s="1">
        <f>SUM(OSRRefT22_20x_0)</f>
        <v>4640</v>
      </c>
      <c r="U104" s="1"/>
      <c r="V104" s="5">
        <f t="shared" ref="V104:V108" si="81">IF(T$12=0,0,T104/T$12)</f>
        <v>9.2508634803821878E-4</v>
      </c>
      <c r="W104" s="1"/>
      <c r="X104" s="1">
        <f t="shared" ref="X104:X108" si="82">+P104-T104</f>
        <v>-3570</v>
      </c>
      <c r="Y104" s="1"/>
      <c r="Z104" s="5">
        <f t="shared" ref="Z104:Z108" si="83">IF(T104=0,0,X104/T104)</f>
        <v>-0.7693965517241379</v>
      </c>
    </row>
    <row r="105" spans="1:26" s="24" customFormat="1" hidden="1" outlineLevel="2" x14ac:dyDescent="0.3">
      <c r="A105" s="29"/>
      <c r="B105" s="11" t="str">
        <f>CONCATENATE("          ", "6376", " - ", "TRAINING")</f>
        <v xml:space="preserve">          6376 - TRAINING</v>
      </c>
      <c r="C105" s="11"/>
      <c r="D105" s="6">
        <v>825</v>
      </c>
      <c r="E105" s="2"/>
      <c r="F105" s="7">
        <f t="shared" si="76"/>
        <v>7.7193904810446249E-4</v>
      </c>
      <c r="G105" s="2"/>
      <c r="H105" s="6">
        <v>640</v>
      </c>
      <c r="I105" s="2"/>
      <c r="J105" s="7">
        <f t="shared" si="77"/>
        <v>6.5741964842429865E-4</v>
      </c>
      <c r="K105" s="2"/>
      <c r="L105" s="6">
        <f t="shared" si="78"/>
        <v>185</v>
      </c>
      <c r="M105" s="2"/>
      <c r="N105" s="7">
        <f t="shared" si="79"/>
        <v>0.2890625</v>
      </c>
      <c r="O105" s="11"/>
      <c r="P105" s="6">
        <v>1070</v>
      </c>
      <c r="Q105" s="2"/>
      <c r="R105" s="7">
        <f t="shared" si="80"/>
        <v>1.6766277418994239E-4</v>
      </c>
      <c r="S105" s="2"/>
      <c r="T105" s="6">
        <v>4640</v>
      </c>
      <c r="U105" s="2"/>
      <c r="V105" s="7">
        <f t="shared" si="81"/>
        <v>9.2508634803821878E-4</v>
      </c>
      <c r="W105" s="2"/>
      <c r="X105" s="6">
        <f t="shared" si="82"/>
        <v>-3570</v>
      </c>
      <c r="Y105" s="2"/>
      <c r="Z105" s="7">
        <f t="shared" si="83"/>
        <v>-0.7693965517241379</v>
      </c>
    </row>
    <row r="106" spans="1:26" s="28" customFormat="1" outlineLevel="1" collapsed="1" x14ac:dyDescent="0.3">
      <c r="A106" s="27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SUM(OSRRefD22_21x_0)</f>
        <v>0</v>
      </c>
      <c r="E106" s="1"/>
      <c r="F106" s="5">
        <f t="shared" si="76"/>
        <v>0</v>
      </c>
      <c r="G106" s="1"/>
      <c r="H106" s="1">
        <f>SUM(OSRRefH22_21x_0)</f>
        <v>0</v>
      </c>
      <c r="I106" s="1"/>
      <c r="J106" s="5">
        <f t="shared" si="77"/>
        <v>0</v>
      </c>
      <c r="K106" s="1"/>
      <c r="L106" s="1">
        <f t="shared" si="78"/>
        <v>0</v>
      </c>
      <c r="M106" s="1"/>
      <c r="N106" s="5">
        <f t="shared" si="79"/>
        <v>0</v>
      </c>
      <c r="O106" s="14"/>
      <c r="P106" s="1">
        <f>SUM(OSRRefP22_21x_0)</f>
        <v>717.61</v>
      </c>
      <c r="Q106" s="1"/>
      <c r="R106" s="5">
        <f t="shared" si="80"/>
        <v>1.1244531157611641E-4</v>
      </c>
      <c r="S106" s="1"/>
      <c r="T106" s="1">
        <f>SUM(OSRRefT22_21x_0)</f>
        <v>0</v>
      </c>
      <c r="U106" s="1"/>
      <c r="V106" s="5">
        <f t="shared" si="81"/>
        <v>0</v>
      </c>
      <c r="W106" s="1"/>
      <c r="X106" s="1">
        <f t="shared" si="82"/>
        <v>717.61</v>
      </c>
      <c r="Y106" s="1"/>
      <c r="Z106" s="5">
        <f t="shared" si="83"/>
        <v>0</v>
      </c>
    </row>
    <row r="107" spans="1:26" s="24" customFormat="1" hidden="1" outlineLevel="2" x14ac:dyDescent="0.3">
      <c r="A107" s="29"/>
      <c r="B107" s="11" t="str">
        <f>CONCATENATE("          ", "6292", " - ", "TRAVEL/CONFERENCE")</f>
        <v xml:space="preserve">          6292 - TRAVEL/CONFERENCE</v>
      </c>
      <c r="C107" s="11"/>
      <c r="D107" s="6"/>
      <c r="E107" s="2"/>
      <c r="F107" s="7">
        <f t="shared" si="76"/>
        <v>0</v>
      </c>
      <c r="G107" s="2"/>
      <c r="H107" s="6"/>
      <c r="I107" s="2"/>
      <c r="J107" s="7">
        <f t="shared" si="77"/>
        <v>0</v>
      </c>
      <c r="K107" s="2"/>
      <c r="L107" s="6">
        <f t="shared" si="78"/>
        <v>0</v>
      </c>
      <c r="M107" s="2"/>
      <c r="N107" s="7">
        <f t="shared" si="79"/>
        <v>0</v>
      </c>
      <c r="O107" s="11"/>
      <c r="P107" s="6">
        <v>613.59</v>
      </c>
      <c r="Q107" s="2"/>
      <c r="R107" s="7">
        <f t="shared" si="80"/>
        <v>9.6145982817950242E-5</v>
      </c>
      <c r="S107" s="2"/>
      <c r="T107" s="6"/>
      <c r="U107" s="2"/>
      <c r="V107" s="7">
        <f t="shared" si="81"/>
        <v>0</v>
      </c>
      <c r="W107" s="2"/>
      <c r="X107" s="6">
        <f t="shared" si="82"/>
        <v>613.59</v>
      </c>
      <c r="Y107" s="2"/>
      <c r="Z107" s="7">
        <f t="shared" si="83"/>
        <v>0</v>
      </c>
    </row>
    <row r="108" spans="1:26" s="24" customFormat="1" hidden="1" outlineLevel="2" x14ac:dyDescent="0.3">
      <c r="A108" s="29"/>
      <c r="B108" s="11" t="str">
        <f>CONCATENATE("          ", "6298", " - ", "VEHICLE MILEAGE")</f>
        <v xml:space="preserve">          6298 - VEHICLE MILEAGE</v>
      </c>
      <c r="C108" s="11"/>
      <c r="D108" s="6"/>
      <c r="E108" s="2"/>
      <c r="F108" s="7">
        <f t="shared" si="76"/>
        <v>0</v>
      </c>
      <c r="G108" s="2"/>
      <c r="H108" s="6"/>
      <c r="I108" s="2"/>
      <c r="J108" s="7">
        <f t="shared" si="77"/>
        <v>0</v>
      </c>
      <c r="K108" s="2"/>
      <c r="L108" s="6">
        <f t="shared" si="78"/>
        <v>0</v>
      </c>
      <c r="M108" s="2"/>
      <c r="N108" s="7">
        <f t="shared" si="79"/>
        <v>0</v>
      </c>
      <c r="O108" s="11"/>
      <c r="P108" s="6">
        <v>104.02</v>
      </c>
      <c r="Q108" s="2"/>
      <c r="R108" s="7">
        <f t="shared" si="80"/>
        <v>1.6299328758166175E-5</v>
      </c>
      <c r="S108" s="2"/>
      <c r="T108" s="6"/>
      <c r="U108" s="2"/>
      <c r="V108" s="7">
        <f t="shared" si="81"/>
        <v>0</v>
      </c>
      <c r="W108" s="2"/>
      <c r="X108" s="6">
        <f t="shared" si="82"/>
        <v>104.02</v>
      </c>
      <c r="Y108" s="2"/>
      <c r="Z108" s="7">
        <f t="shared" si="83"/>
        <v>0</v>
      </c>
    </row>
    <row r="109" spans="1:26" s="28" customFormat="1" outlineLevel="1" collapsed="1" x14ac:dyDescent="0.3">
      <c r="A109" s="27"/>
      <c r="B109" s="14" t="str">
        <f>CONCATENATE("     ","Utilities                                         ")</f>
        <v xml:space="preserve">     Utilities                                         </v>
      </c>
      <c r="C109" s="14"/>
      <c r="D109" s="1">
        <f>SUM(OSRRefD22_22x_0)</f>
        <v>8150</v>
      </c>
      <c r="E109" s="1"/>
      <c r="F109" s="5">
        <f t="shared" ref="F109:F110" si="84">IF(D$12=0,0,D109/D$12)</f>
        <v>7.6258221115774174E-3</v>
      </c>
      <c r="G109" s="1"/>
      <c r="H109" s="1">
        <f>SUM(OSRRefH22_22x_0)</f>
        <v>8667</v>
      </c>
      <c r="I109" s="1"/>
      <c r="J109" s="5">
        <f t="shared" ref="J109:J110" si="85">IF(H$12=0,0,H109/H$12)</f>
        <v>8.9029001451459318E-3</v>
      </c>
      <c r="K109" s="1"/>
      <c r="L109" s="1">
        <f t="shared" ref="L109:L110" si="86">+D109-H109</f>
        <v>-517</v>
      </c>
      <c r="M109" s="1"/>
      <c r="N109" s="5">
        <f t="shared" ref="N109:N110" si="87">IF(H109=0,0,L109/H109)</f>
        <v>-5.9651551863389871E-2</v>
      </c>
      <c r="O109" s="14"/>
      <c r="P109" s="1">
        <f>SUM(OSRRefP22_22x_0)</f>
        <v>46500</v>
      </c>
      <c r="Q109" s="1"/>
      <c r="R109" s="5">
        <f t="shared" ref="R109:R110" si="88">IF(P$12=0,0,P109/P$12)</f>
        <v>7.2862794390956276E-3</v>
      </c>
      <c r="S109" s="1"/>
      <c r="T109" s="1">
        <f>SUM(OSRRefT22_22x_0)</f>
        <v>52002</v>
      </c>
      <c r="U109" s="1"/>
      <c r="V109" s="5">
        <f t="shared" ref="V109:V110" si="89">IF(T$12=0,0,T109/T$12)</f>
        <v>1.0367745747992124E-2</v>
      </c>
      <c r="W109" s="1"/>
      <c r="X109" s="1">
        <f t="shared" ref="X109:X110" si="90">+P109-T109</f>
        <v>-5502</v>
      </c>
      <c r="Y109" s="1"/>
      <c r="Z109" s="5">
        <f t="shared" ref="Z109:Z110" si="91">IF(T109=0,0,X109/T109)</f>
        <v>-0.10580362293757932</v>
      </c>
    </row>
    <row r="110" spans="1:26" s="24" customFormat="1" hidden="1" outlineLevel="2" x14ac:dyDescent="0.3">
      <c r="A110" s="29"/>
      <c r="B110" s="11" t="str">
        <f>CONCATENATE("          ", "6274", " - ", "UTILITIES")</f>
        <v xml:space="preserve">          6274 - UTILITIES</v>
      </c>
      <c r="C110" s="11"/>
      <c r="D110" s="6">
        <v>8150</v>
      </c>
      <c r="E110" s="2"/>
      <c r="F110" s="7">
        <f t="shared" si="84"/>
        <v>7.6258221115774174E-3</v>
      </c>
      <c r="G110" s="2"/>
      <c r="H110" s="6">
        <v>8667</v>
      </c>
      <c r="I110" s="2"/>
      <c r="J110" s="7">
        <f t="shared" si="85"/>
        <v>8.9029001451459318E-3</v>
      </c>
      <c r="K110" s="2"/>
      <c r="L110" s="6">
        <f t="shared" si="86"/>
        <v>-517</v>
      </c>
      <c r="M110" s="2"/>
      <c r="N110" s="7">
        <f t="shared" si="87"/>
        <v>-5.9651551863389871E-2</v>
      </c>
      <c r="O110" s="11"/>
      <c r="P110" s="6">
        <v>46500</v>
      </c>
      <c r="Q110" s="2"/>
      <c r="R110" s="7">
        <f t="shared" si="88"/>
        <v>7.2862794390956276E-3</v>
      </c>
      <c r="S110" s="2"/>
      <c r="T110" s="6">
        <v>52002</v>
      </c>
      <c r="U110" s="2"/>
      <c r="V110" s="7">
        <f t="shared" si="89"/>
        <v>1.0367745747992124E-2</v>
      </c>
      <c r="W110" s="2"/>
      <c r="X110" s="6">
        <f t="shared" si="90"/>
        <v>-5502</v>
      </c>
      <c r="Y110" s="2"/>
      <c r="Z110" s="7">
        <f t="shared" si="91"/>
        <v>-0.10580362293757932</v>
      </c>
    </row>
    <row r="111" spans="1:26" s="55" customFormat="1" x14ac:dyDescent="0.3">
      <c r="A111" s="36"/>
      <c r="B111" s="36"/>
      <c r="C111" s="36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6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3">
      <c r="A112" s="10"/>
      <c r="B112" s="25" t="s">
        <v>293</v>
      </c>
      <c r="C112" s="10"/>
      <c r="D112" s="4">
        <f>SUM(OSRRefD25x_0)</f>
        <v>104600.16</v>
      </c>
      <c r="E112" s="4"/>
      <c r="F112" s="12">
        <f t="shared" ref="F112:F115" si="92">IF(D$12=0,0,D112/D$12)</f>
        <v>9.7872664172090271E-2</v>
      </c>
      <c r="G112" s="4"/>
      <c r="H112" s="4">
        <f>SUM(OSRRefH25x_0)</f>
        <v>250</v>
      </c>
      <c r="I112" s="4"/>
      <c r="J112" s="12">
        <f t="shared" ref="J112:J115" si="93">IF(H$12=0,0,H112/H$12)</f>
        <v>2.5680455016574165E-4</v>
      </c>
      <c r="K112" s="4"/>
      <c r="L112" s="4">
        <f t="shared" ref="L112:L115" si="94">+D112-H112</f>
        <v>104350.16</v>
      </c>
      <c r="M112" s="4"/>
      <c r="N112" s="12">
        <f t="shared" ref="N112:N115" si="95">IF(H112=0,0,L112/H112)</f>
        <v>417.40064000000001</v>
      </c>
      <c r="O112" s="10"/>
      <c r="P112" s="4">
        <f>SUM(OSRRefP25x_0)</f>
        <v>134618.51</v>
      </c>
      <c r="Q112" s="4"/>
      <c r="R112" s="12">
        <f t="shared" ref="R112:R115" si="96">IF(P$12=0,0,P112/P$12)</f>
        <v>2.1093937237305144E-2</v>
      </c>
      <c r="S112" s="4"/>
      <c r="T112" s="4">
        <f>SUM(OSRRefT25x_0)</f>
        <v>1000</v>
      </c>
      <c r="U112" s="4"/>
      <c r="V112" s="12">
        <f t="shared" ref="V112:V115" si="97">IF(T$12=0,0,T112/T$12)</f>
        <v>1.993720577668575E-4</v>
      </c>
      <c r="W112" s="4"/>
      <c r="X112" s="4">
        <f t="shared" ref="X112:X115" si="98">+P112-T112</f>
        <v>133618.51</v>
      </c>
      <c r="Y112" s="4"/>
      <c r="Z112" s="12">
        <f t="shared" ref="Z112:Z115" si="99">IF(T112=0,0,X112/T112)</f>
        <v>133.61851000000001</v>
      </c>
    </row>
    <row r="113" spans="1:26" s="24" customFormat="1" hidden="1" outlineLevel="1" x14ac:dyDescent="0.3">
      <c r="A113" s="44"/>
      <c r="B113" s="11" t="str">
        <f>CONCATENATE("          ", "9150", " - ", "MISC. INCOME")</f>
        <v xml:space="preserve">          9150 - MISC. INCOME</v>
      </c>
      <c r="C113" s="11"/>
      <c r="D113" s="2">
        <f>--104600.16</f>
        <v>104600.16</v>
      </c>
      <c r="E113" s="2"/>
      <c r="F113" s="19">
        <f t="shared" si="92"/>
        <v>9.7872664172090271E-2</v>
      </c>
      <c r="G113" s="2"/>
      <c r="H113" s="2">
        <v>250</v>
      </c>
      <c r="I113" s="2"/>
      <c r="J113" s="19">
        <f t="shared" si="93"/>
        <v>2.5680455016574165E-4</v>
      </c>
      <c r="K113" s="2"/>
      <c r="L113" s="2">
        <f t="shared" si="94"/>
        <v>104350.16</v>
      </c>
      <c r="M113" s="2"/>
      <c r="N113" s="19">
        <f t="shared" si="95"/>
        <v>417.40064000000001</v>
      </c>
      <c r="O113" s="11"/>
      <c r="P113" s="2">
        <f>--134618.51</f>
        <v>134618.51</v>
      </c>
      <c r="Q113" s="2"/>
      <c r="R113" s="19">
        <f t="shared" si="96"/>
        <v>2.1093937237305144E-2</v>
      </c>
      <c r="S113" s="2"/>
      <c r="T113" s="2">
        <v>1000</v>
      </c>
      <c r="U113" s="2"/>
      <c r="V113" s="19">
        <f t="shared" si="97"/>
        <v>1.993720577668575E-4</v>
      </c>
      <c r="W113" s="2"/>
      <c r="X113" s="2">
        <f t="shared" si="98"/>
        <v>133618.51</v>
      </c>
      <c r="Y113" s="2"/>
      <c r="Z113" s="19">
        <f t="shared" si="99"/>
        <v>133.61851000000001</v>
      </c>
    </row>
    <row r="114" spans="1:26" s="24" customFormat="1" hidden="1" outlineLevel="1" x14ac:dyDescent="0.3">
      <c r="A114" s="44"/>
      <c r="B114" s="11" t="str">
        <f>CONCATENATE("          ", "9160", " - ", "MISC. INCOME")</f>
        <v xml:space="preserve">          9160 - MISC. INCOME</v>
      </c>
      <c r="C114" s="11"/>
      <c r="D114" s="2">
        <f t="shared" ref="D114:D115" si="100">0</f>
        <v>0</v>
      </c>
      <c r="E114" s="2"/>
      <c r="F114" s="19">
        <f t="shared" si="92"/>
        <v>0</v>
      </c>
      <c r="G114" s="2"/>
      <c r="H114" s="2"/>
      <c r="I114" s="2"/>
      <c r="J114" s="19">
        <f t="shared" si="93"/>
        <v>0</v>
      </c>
      <c r="K114" s="2"/>
      <c r="L114" s="2">
        <f t="shared" si="94"/>
        <v>0</v>
      </c>
      <c r="M114" s="2"/>
      <c r="N114" s="19">
        <f t="shared" si="95"/>
        <v>0</v>
      </c>
      <c r="O114" s="11"/>
      <c r="P114" s="2">
        <f t="shared" ref="P114:P115" si="101">0</f>
        <v>0</v>
      </c>
      <c r="Q114" s="2"/>
      <c r="R114" s="19">
        <f t="shared" si="96"/>
        <v>0</v>
      </c>
      <c r="S114" s="2"/>
      <c r="T114" s="2"/>
      <c r="U114" s="2"/>
      <c r="V114" s="19">
        <f t="shared" si="97"/>
        <v>0</v>
      </c>
      <c r="W114" s="2"/>
      <c r="X114" s="2">
        <f t="shared" si="98"/>
        <v>0</v>
      </c>
      <c r="Y114" s="2"/>
      <c r="Z114" s="19">
        <f t="shared" si="99"/>
        <v>0</v>
      </c>
    </row>
    <row r="115" spans="1:26" s="24" customFormat="1" hidden="1" outlineLevel="1" x14ac:dyDescent="0.3">
      <c r="A115" s="44"/>
      <c r="B115" s="11" t="str">
        <f>CONCATENATE("          ", "9165", " - ", "OTHER INCOME")</f>
        <v xml:space="preserve">          9165 - OTHER INCOME</v>
      </c>
      <c r="C115" s="11"/>
      <c r="D115" s="2">
        <f t="shared" si="100"/>
        <v>0</v>
      </c>
      <c r="E115" s="2"/>
      <c r="F115" s="19">
        <f t="shared" si="92"/>
        <v>0</v>
      </c>
      <c r="G115" s="2"/>
      <c r="H115" s="2"/>
      <c r="I115" s="2"/>
      <c r="J115" s="19">
        <f t="shared" si="93"/>
        <v>0</v>
      </c>
      <c r="K115" s="2"/>
      <c r="L115" s="2">
        <f t="shared" si="94"/>
        <v>0</v>
      </c>
      <c r="M115" s="2"/>
      <c r="N115" s="19">
        <f t="shared" si="95"/>
        <v>0</v>
      </c>
      <c r="O115" s="11"/>
      <c r="P115" s="2">
        <f t="shared" si="101"/>
        <v>0</v>
      </c>
      <c r="Q115" s="2"/>
      <c r="R115" s="19">
        <f t="shared" si="96"/>
        <v>0</v>
      </c>
      <c r="S115" s="2"/>
      <c r="T115" s="2"/>
      <c r="U115" s="2"/>
      <c r="V115" s="19">
        <f t="shared" si="97"/>
        <v>0</v>
      </c>
      <c r="W115" s="2"/>
      <c r="X115" s="2">
        <f t="shared" si="98"/>
        <v>0</v>
      </c>
      <c r="Y115" s="2"/>
      <c r="Z115" s="19">
        <f t="shared" si="99"/>
        <v>0</v>
      </c>
    </row>
    <row r="116" spans="1:26" x14ac:dyDescent="0.3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3">
      <c r="A117" s="10"/>
      <c r="B117" s="26" t="s">
        <v>277</v>
      </c>
      <c r="C117" s="26"/>
      <c r="D117" s="20">
        <f>+D25-D27+D112</f>
        <v>269260.17000000016</v>
      </c>
      <c r="E117" s="13"/>
      <c r="F117" s="22">
        <f>IF(D$12=0,0,D117/D$12)</f>
        <v>0.25194235069363136</v>
      </c>
      <c r="G117" s="13"/>
      <c r="H117" s="20">
        <f>+H25-H27+H112</f>
        <v>28005.646209027269</v>
      </c>
      <c r="I117" s="13"/>
      <c r="J117" s="22">
        <f>IF(H$12=0,0,H117/H$12)</f>
        <v>2.8767909507240622E-2</v>
      </c>
      <c r="K117" s="16"/>
      <c r="L117" s="20">
        <f>+D117-H117</f>
        <v>241254.52379097289</v>
      </c>
      <c r="M117" s="16"/>
      <c r="N117" s="22">
        <f>IF(H117=0,0,L117/H117)</f>
        <v>8.6144958766638826</v>
      </c>
      <c r="O117" s="25"/>
      <c r="P117" s="20">
        <f>+P25-P27+P112</f>
        <v>1005303.6000000022</v>
      </c>
      <c r="Q117" s="13"/>
      <c r="R117" s="22">
        <f>IF(P$12=0,0,P117/P$12)</f>
        <v>0.15752522474685657</v>
      </c>
      <c r="S117" s="13"/>
      <c r="T117" s="20">
        <f>+T25-T27+T112</f>
        <v>-456659.54325451888</v>
      </c>
      <c r="U117" s="13"/>
      <c r="V117" s="22">
        <f>IF(T$12=0,0,T117/T$12)</f>
        <v>-9.1045152837526705E-2</v>
      </c>
      <c r="W117" s="16"/>
      <c r="X117" s="20">
        <f>+P117-T117</f>
        <v>1461963.1432545211</v>
      </c>
      <c r="Y117" s="16"/>
      <c r="Z117" s="22">
        <f>IF(T117=0,0,X117/T117)</f>
        <v>-3.2014290839854342</v>
      </c>
    </row>
    <row r="118" spans="1:26" x14ac:dyDescent="0.3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3">
      <c r="A119" s="52"/>
      <c r="B119" s="10" t="s">
        <v>128</v>
      </c>
      <c r="C119" s="10"/>
      <c r="D119" s="4">
        <v>135334.26999999999</v>
      </c>
      <c r="E119" s="4"/>
      <c r="F119" s="12">
        <f>IF(D$12=0,0,D119/D$12)</f>
        <v>0.12663006976934826</v>
      </c>
      <c r="G119" s="4"/>
      <c r="H119" s="4">
        <v>144063</v>
      </c>
      <c r="I119" s="4"/>
      <c r="J119" s="12">
        <f>IF(H$12=0,0,H119/H$12)</f>
        <v>0.14798413564210897</v>
      </c>
      <c r="K119" s="4"/>
      <c r="L119" s="4">
        <f>+D119-H119</f>
        <v>-8728.7300000000105</v>
      </c>
      <c r="M119" s="4"/>
      <c r="N119" s="12">
        <f>IF(H119=0,0,L119/H119)</f>
        <v>-6.0589672573804591E-2</v>
      </c>
      <c r="O119" s="10"/>
      <c r="P119" s="4">
        <v>768189.33</v>
      </c>
      <c r="Q119" s="4"/>
      <c r="R119" s="12">
        <f>IF(P$12=0,0,P119/P$12)</f>
        <v>0.12037079829057303</v>
      </c>
      <c r="S119" s="4"/>
      <c r="T119" s="4">
        <v>649393</v>
      </c>
      <c r="U119" s="4"/>
      <c r="V119" s="12">
        <f>IF(T$12=0,0,T119/T$12)</f>
        <v>0.12947081870939289</v>
      </c>
      <c r="W119" s="4"/>
      <c r="X119" s="4">
        <f>+P119-T119</f>
        <v>118796.32999999996</v>
      </c>
      <c r="Y119" s="4"/>
      <c r="Z119" s="12">
        <f>IF(T119=0,0,X119/T119)</f>
        <v>0.18293441721730902</v>
      </c>
    </row>
    <row r="120" spans="1:26" x14ac:dyDescent="0.3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" thickBot="1" x14ac:dyDescent="0.35">
      <c r="A121" s="10"/>
      <c r="B121" s="26" t="s">
        <v>126</v>
      </c>
      <c r="C121" s="26"/>
      <c r="D121" s="31">
        <f>+D117-D119</f>
        <v>133925.90000000017</v>
      </c>
      <c r="E121" s="13"/>
      <c r="F121" s="30">
        <f>IF(D$12=0,0,D121/D$12)</f>
        <v>0.12531228092428312</v>
      </c>
      <c r="G121" s="13"/>
      <c r="H121" s="31">
        <f>+H117-H119</f>
        <v>-116057.35379097273</v>
      </c>
      <c r="I121" s="13"/>
      <c r="J121" s="30">
        <f>IF(H$12=0,0,H121/H$12)</f>
        <v>-0.11921622613486833</v>
      </c>
      <c r="K121" s="16"/>
      <c r="L121" s="31">
        <f>D121-H121</f>
        <v>249983.2537909729</v>
      </c>
      <c r="M121" s="16"/>
      <c r="N121" s="30">
        <f>IF(H121=0,0,L121/H121)</f>
        <v>-2.1539630676157748</v>
      </c>
      <c r="O121" s="25"/>
      <c r="P121" s="31">
        <f>+P117-P119</f>
        <v>237114.27000000223</v>
      </c>
      <c r="Q121" s="13"/>
      <c r="R121" s="30">
        <f>IF(P$12=0,0,P121/P$12)</f>
        <v>3.7154426456283557E-2</v>
      </c>
      <c r="S121" s="13"/>
      <c r="T121" s="31">
        <f>+T117-T119</f>
        <v>-1106052.5432545189</v>
      </c>
      <c r="U121" s="13"/>
      <c r="V121" s="30">
        <f>IF(T$12=0,0,T121/T$12)</f>
        <v>-0.2205159715469196</v>
      </c>
      <c r="W121" s="16"/>
      <c r="X121" s="31">
        <f>P121-T121</f>
        <v>1343166.8132545212</v>
      </c>
      <c r="Y121" s="16"/>
      <c r="Z121" s="30">
        <f>IF(T121=0,0,X121/T121)</f>
        <v>-1.2143788479544582</v>
      </c>
    </row>
    <row r="122" spans="1:26" ht="15" thickTop="1" x14ac:dyDescent="0.3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3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" thickBot="1" x14ac:dyDescent="0.35">
      <c r="A124" s="10"/>
      <c r="B124" s="26" t="s">
        <v>294</v>
      </c>
      <c r="C124" s="26"/>
      <c r="D124" s="35">
        <f>SUM(D121:D123)</f>
        <v>133925.90000000017</v>
      </c>
      <c r="E124" s="13"/>
      <c r="F124" s="34">
        <f>IF(D$12=0,0,D124/D$12)</f>
        <v>0.12531228092428312</v>
      </c>
      <c r="G124" s="13"/>
      <c r="H124" s="35">
        <f>SUM(H121:H123)</f>
        <v>-116057.35379097273</v>
      </c>
      <c r="I124" s="13"/>
      <c r="J124" s="34">
        <f>IF(H$12=0,0,H124/H$12)</f>
        <v>-0.11921622613486833</v>
      </c>
      <c r="K124" s="16"/>
      <c r="L124" s="35">
        <f>+D124-H124</f>
        <v>249983.2537909729</v>
      </c>
      <c r="M124" s="16"/>
      <c r="N124" s="34">
        <f>IF(H124=0,0,L124/H124)</f>
        <v>-2.1539630676157748</v>
      </c>
      <c r="O124" s="25"/>
      <c r="P124" s="35">
        <f>SUM(P121:P123)</f>
        <v>237114.27000000223</v>
      </c>
      <c r="Q124" s="13"/>
      <c r="R124" s="34">
        <f>IF(P$12=0,0,P124/P$12)</f>
        <v>3.7154426456283557E-2</v>
      </c>
      <c r="S124" s="13"/>
      <c r="T124" s="35">
        <f>SUM(T121:T123)</f>
        <v>-1106052.5432545189</v>
      </c>
      <c r="U124" s="13"/>
      <c r="V124" s="34">
        <f>IF(T$12=0,0,T124/T$12)</f>
        <v>-0.2205159715469196</v>
      </c>
      <c r="W124" s="16"/>
      <c r="X124" s="35">
        <f>+P124-T124</f>
        <v>1343166.8132545212</v>
      </c>
      <c r="Y124" s="16"/>
      <c r="Z124" s="34">
        <f>IF(T124=0,0,X124/T124)</f>
        <v>-1.2143788479544582</v>
      </c>
    </row>
    <row r="125" spans="1:26" ht="15" thickTop="1" x14ac:dyDescent="0.3">
      <c r="A125" s="9"/>
      <c r="C125" s="9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3">
      <c r="A126" s="9"/>
      <c r="B126" s="61">
        <v>44575.842109340279</v>
      </c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3">
      <c r="A127" s="9"/>
      <c r="B127" s="62" t="s">
        <v>56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3">
      <c r="A128" s="9"/>
      <c r="B128" s="53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4:24" x14ac:dyDescent="0.3"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218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2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55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116384.09</v>
      </c>
      <c r="E12" s="4"/>
      <c r="F12" s="12"/>
      <c r="G12" s="4"/>
      <c r="H12" s="4">
        <f>SUM(OSRRefH13x_0)</f>
        <v>109391</v>
      </c>
      <c r="I12" s="4"/>
      <c r="J12" s="12"/>
      <c r="K12" s="4"/>
      <c r="L12" s="4">
        <f t="shared" ref="L12:L18" si="0">+D12-H12</f>
        <v>6993.0899999999965</v>
      </c>
      <c r="M12" s="4"/>
      <c r="N12" s="12">
        <f t="shared" ref="N12:N18" si="1">IF(H12=0,0,L12/H12)</f>
        <v>6.3927471181358581E-2</v>
      </c>
      <c r="O12" s="10"/>
      <c r="P12" s="4">
        <f>SUM(OSRRefP13x_0)</f>
        <v>665315.77</v>
      </c>
      <c r="Q12" s="4"/>
      <c r="R12" s="12"/>
      <c r="S12" s="4"/>
      <c r="T12" s="4">
        <f>SUM(OSRRefT13x_0)</f>
        <v>653481</v>
      </c>
      <c r="U12" s="4"/>
      <c r="V12" s="12"/>
      <c r="W12" s="4"/>
      <c r="X12" s="4">
        <f t="shared" ref="X12:X18" si="2">+P12-T12</f>
        <v>11834.770000000019</v>
      </c>
      <c r="Y12" s="4"/>
      <c r="Z12" s="12">
        <f t="shared" ref="Z12:Z18" si="3">IF(T12=0,0,X12/T12)</f>
        <v>1.8110350568723527E-2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--2128.3</f>
        <v>2128.3000000000002</v>
      </c>
      <c r="E13" s="2"/>
      <c r="F13" s="19"/>
      <c r="G13" s="2"/>
      <c r="H13" s="2">
        <v>30046</v>
      </c>
      <c r="I13" s="2"/>
      <c r="J13" s="19"/>
      <c r="K13" s="2"/>
      <c r="L13" s="2">
        <f t="shared" si="0"/>
        <v>-27917.7</v>
      </c>
      <c r="M13" s="2"/>
      <c r="N13" s="19">
        <f t="shared" si="1"/>
        <v>-0.92916527990414699</v>
      </c>
      <c r="O13" s="11"/>
      <c r="P13" s="2">
        <f>--12750.65</f>
        <v>12750.65</v>
      </c>
      <c r="Q13" s="2"/>
      <c r="R13" s="19"/>
      <c r="S13" s="2"/>
      <c r="T13" s="2">
        <v>181765</v>
      </c>
      <c r="U13" s="2"/>
      <c r="V13" s="19"/>
      <c r="W13" s="2"/>
      <c r="X13" s="2">
        <f t="shared" si="2"/>
        <v>-169014.35</v>
      </c>
      <c r="Y13" s="2"/>
      <c r="Z13" s="19">
        <f t="shared" si="3"/>
        <v>-0.92985090639011914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--19631.62</f>
        <v>19631.62</v>
      </c>
      <c r="E14" s="2"/>
      <c r="F14" s="19"/>
      <c r="G14" s="2"/>
      <c r="H14" s="2"/>
      <c r="I14" s="2"/>
      <c r="J14" s="19"/>
      <c r="K14" s="2"/>
      <c r="L14" s="2">
        <f t="shared" si="0"/>
        <v>19631.62</v>
      </c>
      <c r="M14" s="2"/>
      <c r="N14" s="19">
        <f t="shared" si="1"/>
        <v>0</v>
      </c>
      <c r="O14" s="11"/>
      <c r="P14" s="2">
        <f>--146982.79</f>
        <v>146982.79</v>
      </c>
      <c r="Q14" s="2"/>
      <c r="R14" s="19"/>
      <c r="S14" s="2"/>
      <c r="T14" s="2"/>
      <c r="U14" s="2"/>
      <c r="V14" s="19"/>
      <c r="W14" s="2"/>
      <c r="X14" s="2">
        <f t="shared" si="2"/>
        <v>146982.79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--1720.65</f>
        <v>1720.65</v>
      </c>
      <c r="E15" s="2"/>
      <c r="F15" s="19"/>
      <c r="G15" s="2"/>
      <c r="H15" s="2"/>
      <c r="I15" s="2"/>
      <c r="J15" s="19"/>
      <c r="K15" s="2"/>
      <c r="L15" s="2">
        <f t="shared" si="0"/>
        <v>1720.65</v>
      </c>
      <c r="M15" s="2"/>
      <c r="N15" s="19">
        <f t="shared" si="1"/>
        <v>0</v>
      </c>
      <c r="O15" s="11"/>
      <c r="P15" s="2">
        <f>--8078.3</f>
        <v>8078.3</v>
      </c>
      <c r="Q15" s="2"/>
      <c r="R15" s="19"/>
      <c r="S15" s="2"/>
      <c r="T15" s="2"/>
      <c r="U15" s="2"/>
      <c r="V15" s="19"/>
      <c r="W15" s="2"/>
      <c r="X15" s="2">
        <f t="shared" si="2"/>
        <v>8078.3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--10279.17</f>
        <v>10279.17</v>
      </c>
      <c r="E16" s="2"/>
      <c r="F16" s="19"/>
      <c r="G16" s="2"/>
      <c r="H16" s="2">
        <v>79345</v>
      </c>
      <c r="I16" s="2"/>
      <c r="J16" s="19"/>
      <c r="K16" s="2"/>
      <c r="L16" s="2">
        <f t="shared" si="0"/>
        <v>-69065.83</v>
      </c>
      <c r="M16" s="2"/>
      <c r="N16" s="19">
        <f t="shared" si="1"/>
        <v>-0.87044968176948767</v>
      </c>
      <c r="O16" s="11"/>
      <c r="P16" s="2">
        <f>--62958.13</f>
        <v>62958.13</v>
      </c>
      <c r="Q16" s="2"/>
      <c r="R16" s="19"/>
      <c r="S16" s="2"/>
      <c r="T16" s="2">
        <v>471716</v>
      </c>
      <c r="U16" s="2"/>
      <c r="V16" s="19"/>
      <c r="W16" s="2"/>
      <c r="X16" s="2">
        <f t="shared" si="2"/>
        <v>-408757.87</v>
      </c>
      <c r="Y16" s="2"/>
      <c r="Z16" s="19">
        <f t="shared" si="3"/>
        <v>-0.86653382543733937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--82624.35</f>
        <v>82624.350000000006</v>
      </c>
      <c r="E17" s="2"/>
      <c r="F17" s="19"/>
      <c r="G17" s="2"/>
      <c r="H17" s="2"/>
      <c r="I17" s="2"/>
      <c r="J17" s="19"/>
      <c r="K17" s="2"/>
      <c r="L17" s="2">
        <f t="shared" si="0"/>
        <v>82624.350000000006</v>
      </c>
      <c r="M17" s="2"/>
      <c r="N17" s="19">
        <f t="shared" si="1"/>
        <v>0</v>
      </c>
      <c r="O17" s="11"/>
      <c r="P17" s="2">
        <f>--434545.9</f>
        <v>434545.9</v>
      </c>
      <c r="Q17" s="2"/>
      <c r="R17" s="19"/>
      <c r="S17" s="2"/>
      <c r="T17" s="2"/>
      <c r="U17" s="2"/>
      <c r="V17" s="19"/>
      <c r="W17" s="2"/>
      <c r="X17" s="2">
        <f t="shared" si="2"/>
        <v>434545.9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50419.22</v>
      </c>
      <c r="E20" s="4"/>
      <c r="F20" s="12">
        <f t="shared" ref="F20:F23" si="4">IF(D$12=0,0,D20/D$12)</f>
        <v>0.43321402435676565</v>
      </c>
      <c r="G20" s="4"/>
      <c r="H20" s="4">
        <f>SUM(OSRRefH16x_0)</f>
        <v>41055</v>
      </c>
      <c r="I20" s="4"/>
      <c r="J20" s="12">
        <f t="shared" ref="J20:J23" si="5">IF(H$12=0,0,H20/H$12)</f>
        <v>0.37530509822563102</v>
      </c>
      <c r="K20" s="4"/>
      <c r="L20" s="4">
        <f t="shared" ref="L20:L23" si="6">+D20-H20</f>
        <v>9364.2200000000012</v>
      </c>
      <c r="M20" s="4"/>
      <c r="N20" s="12">
        <f t="shared" ref="N20:N23" si="7">IF(H20=0,0,L20/H20)</f>
        <v>0.22808963585434178</v>
      </c>
      <c r="O20" s="10"/>
      <c r="P20" s="4">
        <f>SUM(OSRRefP16x_0)</f>
        <v>280096.39999999997</v>
      </c>
      <c r="Q20" s="4"/>
      <c r="R20" s="12">
        <f t="shared" ref="R20:R23" si="8">IF(P$12=0,0,P20/P$12)</f>
        <v>0.42099768655716663</v>
      </c>
      <c r="S20" s="4"/>
      <c r="T20" s="4">
        <f>SUM(OSRRefT16x_0)</f>
        <v>247918</v>
      </c>
      <c r="U20" s="4"/>
      <c r="V20" s="12">
        <f t="shared" ref="V20:V23" si="9">IF(T$12=0,0,T20/T$12)</f>
        <v>0.37938057877734777</v>
      </c>
      <c r="W20" s="4"/>
      <c r="X20" s="4">
        <f t="shared" ref="X20:X23" si="10">+P20-T20</f>
        <v>32178.399999999965</v>
      </c>
      <c r="Y20" s="4"/>
      <c r="Z20" s="12">
        <f t="shared" ref="Z20:Z23" si="11">IF(T20=0,0,X20/T20)</f>
        <v>0.12979452883614728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41055</v>
      </c>
      <c r="I21" s="2"/>
      <c r="J21" s="19">
        <f t="shared" si="5"/>
        <v>0.37530509822563102</v>
      </c>
      <c r="K21" s="2"/>
      <c r="L21" s="2">
        <f t="shared" si="6"/>
        <v>-41055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247918</v>
      </c>
      <c r="U21" s="2"/>
      <c r="V21" s="19">
        <f t="shared" si="9"/>
        <v>0.37938057877734777</v>
      </c>
      <c r="W21" s="2"/>
      <c r="X21" s="2">
        <f t="shared" si="10"/>
        <v>-247918</v>
      </c>
      <c r="Y21" s="2"/>
      <c r="Z21" s="19">
        <f t="shared" si="11"/>
        <v>-1</v>
      </c>
    </row>
    <row r="22" spans="1:26" s="24" customFormat="1" hidden="1" outlineLevel="1" x14ac:dyDescent="0.3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25650.33</v>
      </c>
      <c r="E22" s="2"/>
      <c r="F22" s="19">
        <f t="shared" si="4"/>
        <v>0.22039378406447138</v>
      </c>
      <c r="G22" s="2"/>
      <c r="H22" s="2"/>
      <c r="I22" s="2"/>
      <c r="J22" s="19">
        <f t="shared" si="5"/>
        <v>0</v>
      </c>
      <c r="K22" s="2"/>
      <c r="L22" s="2">
        <f t="shared" si="6"/>
        <v>25650.33</v>
      </c>
      <c r="M22" s="2"/>
      <c r="N22" s="19">
        <f t="shared" si="7"/>
        <v>0</v>
      </c>
      <c r="O22" s="11"/>
      <c r="P22" s="2">
        <v>258716.55</v>
      </c>
      <c r="Q22" s="2"/>
      <c r="R22" s="19">
        <f t="shared" si="8"/>
        <v>0.38886279518070038</v>
      </c>
      <c r="S22" s="2"/>
      <c r="T22" s="2"/>
      <c r="U22" s="2"/>
      <c r="V22" s="19">
        <f t="shared" si="9"/>
        <v>0</v>
      </c>
      <c r="W22" s="2"/>
      <c r="X22" s="2">
        <f t="shared" si="10"/>
        <v>258716.55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24768.89</v>
      </c>
      <c r="E23" s="2"/>
      <c r="F23" s="19">
        <f t="shared" si="4"/>
        <v>0.21282024029229424</v>
      </c>
      <c r="G23" s="2"/>
      <c r="H23" s="2"/>
      <c r="I23" s="2"/>
      <c r="J23" s="19">
        <f t="shared" si="5"/>
        <v>0</v>
      </c>
      <c r="K23" s="2"/>
      <c r="L23" s="2">
        <f t="shared" si="6"/>
        <v>24768.89</v>
      </c>
      <c r="M23" s="2"/>
      <c r="N23" s="19">
        <f t="shared" si="7"/>
        <v>0</v>
      </c>
      <c r="O23" s="11"/>
      <c r="P23" s="2">
        <v>21379.85</v>
      </c>
      <c r="Q23" s="2"/>
      <c r="R23" s="19">
        <f t="shared" si="8"/>
        <v>3.2134891376466246E-2</v>
      </c>
      <c r="S23" s="2"/>
      <c r="T23" s="2"/>
      <c r="U23" s="2"/>
      <c r="V23" s="19">
        <f t="shared" si="9"/>
        <v>0</v>
      </c>
      <c r="W23" s="2"/>
      <c r="X23" s="2">
        <f t="shared" si="10"/>
        <v>21379.85</v>
      </c>
      <c r="Y23" s="2"/>
      <c r="Z23" s="19">
        <f t="shared" si="11"/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108</v>
      </c>
      <c r="C25" s="26"/>
      <c r="D25" s="20">
        <f>D12-D20</f>
        <v>65964.87</v>
      </c>
      <c r="E25" s="13"/>
      <c r="F25" s="22">
        <f>IF(D$12=0,0,D25/D$12)</f>
        <v>0.56678597564323441</v>
      </c>
      <c r="G25" s="13"/>
      <c r="H25" s="20">
        <f>H12-H20</f>
        <v>68336</v>
      </c>
      <c r="I25" s="13"/>
      <c r="J25" s="22">
        <f>IF(H$12=0,0,H25/H$12)</f>
        <v>0.62469490177436904</v>
      </c>
      <c r="K25" s="16"/>
      <c r="L25" s="20">
        <f>+D25-H25</f>
        <v>-2371.1300000000047</v>
      </c>
      <c r="M25" s="16"/>
      <c r="N25" s="22">
        <f>IF(H25=0,0,L25/H25)</f>
        <v>-3.4698109342074526E-2</v>
      </c>
      <c r="O25" s="25"/>
      <c r="P25" s="20">
        <f>P12-P20</f>
        <v>385219.37000000005</v>
      </c>
      <c r="Q25" s="13"/>
      <c r="R25" s="22">
        <f>IF(P$12=0,0,P25/P$12)</f>
        <v>0.57900231344283337</v>
      </c>
      <c r="S25" s="13"/>
      <c r="T25" s="20">
        <f>T12-T20</f>
        <v>405563</v>
      </c>
      <c r="U25" s="13"/>
      <c r="V25" s="22">
        <f>IF(T$12=0,0,T25/T$12)</f>
        <v>0.62061942122265223</v>
      </c>
      <c r="W25" s="16"/>
      <c r="X25" s="20">
        <f>+P25-T25</f>
        <v>-20343.629999999946</v>
      </c>
      <c r="Y25" s="16"/>
      <c r="Z25" s="22">
        <f>IF(T25=0,0,X25/T25)</f>
        <v>-5.0161454570559809E-2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295</v>
      </c>
      <c r="C27" s="10"/>
      <c r="D27" s="21">
        <f>SUM(OSRRefD22x_0)</f>
        <v>200790.74</v>
      </c>
      <c r="E27" s="21"/>
      <c r="F27" s="32">
        <f t="shared" ref="F27:F37" si="12">IF(D$12=0,0,D27/D$12)</f>
        <v>1.7252421701282366</v>
      </c>
      <c r="G27" s="21"/>
      <c r="H27" s="21">
        <f>SUM(OSRRefH22x_0)</f>
        <v>191543.58750321431</v>
      </c>
      <c r="I27" s="21"/>
      <c r="J27" s="32">
        <f t="shared" ref="J27:J37" si="13">IF(H$12=0,0,H27/H$12)</f>
        <v>1.7509995109580707</v>
      </c>
      <c r="K27" s="4"/>
      <c r="L27" s="21">
        <f t="shared" ref="L27:L37" si="14">+D27-H27</f>
        <v>9247.1524967856822</v>
      </c>
      <c r="M27" s="4"/>
      <c r="N27" s="32">
        <f t="shared" ref="N27:N37" si="15">IF(H27=0,0,L27/H27)</f>
        <v>4.8277014215526819E-2</v>
      </c>
      <c r="O27" s="10"/>
      <c r="P27" s="21">
        <f>SUM(OSRRefP22x_0)</f>
        <v>1191976.57</v>
      </c>
      <c r="Q27" s="21"/>
      <c r="R27" s="32">
        <f t="shared" ref="R27:R37" si="16">IF(P$12=0,0,P27/P$12)</f>
        <v>1.7915952450668651</v>
      </c>
      <c r="S27" s="21"/>
      <c r="T27" s="21">
        <f>SUM(OSRRefT22x_0)</f>
        <v>1230137.6710715895</v>
      </c>
      <c r="U27" s="21"/>
      <c r="V27" s="32">
        <f t="shared" ref="V27:V37" si="17">IF(T$12=0,0,T27/T$12)</f>
        <v>1.8824383127766369</v>
      </c>
      <c r="W27" s="4"/>
      <c r="X27" s="21">
        <f t="shared" ref="X27:X37" si="18">+P27-T27</f>
        <v>-38161.101071589394</v>
      </c>
      <c r="Y27" s="4"/>
      <c r="Z27" s="32">
        <f t="shared" ref="Z27:Z37" si="19">IF(T27=0,0,X27/T27)</f>
        <v>-3.1021813223837576E-2</v>
      </c>
    </row>
    <row r="28" spans="1:26" s="28" customFormat="1" outlineLevel="1" collapsed="1" x14ac:dyDescent="0.3">
      <c r="A28" s="27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32222.719999999998</v>
      </c>
      <c r="E28" s="1"/>
      <c r="F28" s="5">
        <f t="shared" si="12"/>
        <v>0.27686533442844291</v>
      </c>
      <c r="G28" s="1"/>
      <c r="H28" s="1">
        <f>SUM(OSRRefH22_0x_0)</f>
        <v>28083.884492445104</v>
      </c>
      <c r="I28" s="1"/>
      <c r="J28" s="5">
        <f t="shared" si="13"/>
        <v>0.25672938808901191</v>
      </c>
      <c r="K28" s="1"/>
      <c r="L28" s="1">
        <f t="shared" si="14"/>
        <v>4138.8355075548934</v>
      </c>
      <c r="M28" s="1"/>
      <c r="N28" s="5">
        <f t="shared" si="15"/>
        <v>0.14737403967988436</v>
      </c>
      <c r="O28" s="14"/>
      <c r="P28" s="1">
        <f>SUM(OSRRefP22_0x_0)</f>
        <v>180450.49</v>
      </c>
      <c r="Q28" s="1"/>
      <c r="R28" s="5">
        <f t="shared" si="16"/>
        <v>0.27122533109353469</v>
      </c>
      <c r="S28" s="1"/>
      <c r="T28" s="1">
        <f>SUM(OSRRefT22_0x_0)</f>
        <v>190599.27656158939</v>
      </c>
      <c r="U28" s="1"/>
      <c r="V28" s="5">
        <f t="shared" si="17"/>
        <v>0.29166766372945713</v>
      </c>
      <c r="W28" s="1"/>
      <c r="X28" s="1">
        <f t="shared" si="18"/>
        <v>-10148.786561589397</v>
      </c>
      <c r="Y28" s="1"/>
      <c r="Z28" s="5">
        <f t="shared" si="19"/>
        <v>-5.3246721313288739E-2</v>
      </c>
    </row>
    <row r="29" spans="1:26" s="24" customFormat="1" hidden="1" outlineLevel="2" x14ac:dyDescent="0.3">
      <c r="A29" s="29"/>
      <c r="B29" s="11" t="str">
        <f>CONCATENATE("          ", "6111", " - ", "F.I.C.A.")</f>
        <v xml:space="preserve">          6111 - F.I.C.A.</v>
      </c>
      <c r="C29" s="11"/>
      <c r="D29" s="6">
        <v>5068.42</v>
      </c>
      <c r="E29" s="2"/>
      <c r="F29" s="7">
        <f t="shared" si="12"/>
        <v>4.3549079603578122E-2</v>
      </c>
      <c r="G29" s="2"/>
      <c r="H29" s="6">
        <v>3382.7132218296902</v>
      </c>
      <c r="I29" s="2"/>
      <c r="J29" s="7">
        <f t="shared" si="13"/>
        <v>3.0923140128801183E-2</v>
      </c>
      <c r="K29" s="2"/>
      <c r="L29" s="6">
        <f t="shared" si="14"/>
        <v>1685.7067781703099</v>
      </c>
      <c r="M29" s="2"/>
      <c r="N29" s="7">
        <f t="shared" si="15"/>
        <v>0.49832979257358412</v>
      </c>
      <c r="O29" s="11"/>
      <c r="P29" s="6">
        <v>27738.880000000001</v>
      </c>
      <c r="Q29" s="2"/>
      <c r="R29" s="7">
        <f t="shared" si="16"/>
        <v>4.1692804004931375E-2</v>
      </c>
      <c r="S29" s="2"/>
      <c r="T29" s="6">
        <v>24773.593324974001</v>
      </c>
      <c r="U29" s="2"/>
      <c r="V29" s="7">
        <f t="shared" si="17"/>
        <v>3.7910196815169842E-2</v>
      </c>
      <c r="W29" s="2"/>
      <c r="X29" s="6">
        <f t="shared" si="18"/>
        <v>2965.286675026</v>
      </c>
      <c r="Y29" s="2"/>
      <c r="Z29" s="7">
        <f t="shared" si="19"/>
        <v>0.11969546105516818</v>
      </c>
    </row>
    <row r="30" spans="1:26" s="24" customFormat="1" hidden="1" outlineLevel="2" x14ac:dyDescent="0.3">
      <c r="A30" s="29"/>
      <c r="B30" s="11" t="str">
        <f>CONCATENATE("          ", "6112", " - ", "COMPENSATION INSURANCE")</f>
        <v xml:space="preserve">          6112 - COMPENSATION INSURANCE</v>
      </c>
      <c r="C30" s="11"/>
      <c r="D30" s="6">
        <v>2388.9299999999998</v>
      </c>
      <c r="E30" s="2"/>
      <c r="F30" s="7">
        <f t="shared" si="12"/>
        <v>2.0526259216358523E-2</v>
      </c>
      <c r="G30" s="2"/>
      <c r="H30" s="6">
        <v>2715.7297949215399</v>
      </c>
      <c r="I30" s="2"/>
      <c r="J30" s="7">
        <f t="shared" si="13"/>
        <v>2.4825897879364296E-2</v>
      </c>
      <c r="K30" s="2"/>
      <c r="L30" s="6">
        <f t="shared" si="14"/>
        <v>-326.79979492154007</v>
      </c>
      <c r="M30" s="2"/>
      <c r="N30" s="7">
        <f t="shared" si="15"/>
        <v>-0.12033590216989229</v>
      </c>
      <c r="O30" s="11"/>
      <c r="P30" s="6">
        <v>12611.41</v>
      </c>
      <c r="Q30" s="2"/>
      <c r="R30" s="7">
        <f t="shared" si="16"/>
        <v>1.8955525434185935E-2</v>
      </c>
      <c r="S30" s="2"/>
      <c r="T30" s="6">
        <v>18068.043342820001</v>
      </c>
      <c r="U30" s="2"/>
      <c r="V30" s="7">
        <f t="shared" si="17"/>
        <v>2.764891916187311E-2</v>
      </c>
      <c r="W30" s="2"/>
      <c r="X30" s="6">
        <f t="shared" si="18"/>
        <v>-5456.6333428200014</v>
      </c>
      <c r="Y30" s="2"/>
      <c r="Z30" s="7">
        <f t="shared" si="19"/>
        <v>-0.30200466311081742</v>
      </c>
    </row>
    <row r="31" spans="1:26" s="24" customFormat="1" hidden="1" outlineLevel="2" x14ac:dyDescent="0.3">
      <c r="A31" s="29"/>
      <c r="B31" s="11" t="str">
        <f>CONCATENATE("          ", "6113", " - ", "GROUP INSURANCE")</f>
        <v xml:space="preserve">          6113 - GROUP INSURANCE</v>
      </c>
      <c r="C31" s="11"/>
      <c r="D31" s="6">
        <v>12673.39</v>
      </c>
      <c r="E31" s="2"/>
      <c r="F31" s="7">
        <f t="shared" si="12"/>
        <v>0.10889280484987252</v>
      </c>
      <c r="G31" s="2"/>
      <c r="H31" s="6">
        <v>13119.123076923101</v>
      </c>
      <c r="I31" s="2"/>
      <c r="J31" s="7">
        <f t="shared" si="13"/>
        <v>0.11992872427277473</v>
      </c>
      <c r="K31" s="2"/>
      <c r="L31" s="6">
        <f t="shared" si="14"/>
        <v>-445.73307692310118</v>
      </c>
      <c r="M31" s="2"/>
      <c r="N31" s="7">
        <f t="shared" si="15"/>
        <v>-3.3975828590796432E-2</v>
      </c>
      <c r="O31" s="11"/>
      <c r="P31" s="6">
        <v>74965.37</v>
      </c>
      <c r="Q31" s="2"/>
      <c r="R31" s="7">
        <f t="shared" si="16"/>
        <v>0.11267637621155439</v>
      </c>
      <c r="S31" s="2"/>
      <c r="T31" s="6">
        <v>90457.165384615393</v>
      </c>
      <c r="U31" s="2"/>
      <c r="V31" s="7">
        <f t="shared" si="17"/>
        <v>0.13842355842727699</v>
      </c>
      <c r="W31" s="2"/>
      <c r="X31" s="6">
        <f t="shared" si="18"/>
        <v>-15491.795384615398</v>
      </c>
      <c r="Y31" s="2"/>
      <c r="Z31" s="7">
        <f t="shared" si="19"/>
        <v>-0.17126111921311854</v>
      </c>
    </row>
    <row r="32" spans="1:26" s="24" customFormat="1" hidden="1" outlineLevel="2" x14ac:dyDescent="0.3">
      <c r="A32" s="29"/>
      <c r="B32" s="11" t="str">
        <f>CONCATENATE("          ", "6114", " - ", "STATE UNEMPLOYMENT INSURANCE")</f>
        <v xml:space="preserve">          6114 - STATE UNEMPLOYMENT INSURANCE</v>
      </c>
      <c r="C32" s="11"/>
      <c r="D32" s="6">
        <v>213.56</v>
      </c>
      <c r="E32" s="2"/>
      <c r="F32" s="7">
        <f t="shared" si="12"/>
        <v>1.8349587129993456E-3</v>
      </c>
      <c r="G32" s="2"/>
      <c r="H32" s="6">
        <v>150.47579338615401</v>
      </c>
      <c r="I32" s="2"/>
      <c r="J32" s="7">
        <f t="shared" si="13"/>
        <v>1.3755774550571255E-3</v>
      </c>
      <c r="K32" s="2"/>
      <c r="L32" s="6">
        <f t="shared" si="14"/>
        <v>63.084206613845993</v>
      </c>
      <c r="M32" s="2"/>
      <c r="N32" s="7">
        <f t="shared" si="15"/>
        <v>0.4192315932965911</v>
      </c>
      <c r="O32" s="11"/>
      <c r="P32" s="6">
        <v>1142.25</v>
      </c>
      <c r="Q32" s="2"/>
      <c r="R32" s="7">
        <f t="shared" si="16"/>
        <v>1.7168539383937945E-3</v>
      </c>
      <c r="S32" s="2"/>
      <c r="T32" s="6">
        <v>1001.13168918</v>
      </c>
      <c r="U32" s="2"/>
      <c r="V32" s="7">
        <f t="shared" si="17"/>
        <v>1.5319981593650007E-3</v>
      </c>
      <c r="W32" s="2"/>
      <c r="X32" s="6">
        <f t="shared" si="18"/>
        <v>141.11831082000003</v>
      </c>
      <c r="Y32" s="2"/>
      <c r="Z32" s="7">
        <f t="shared" si="19"/>
        <v>0.14095878928334218</v>
      </c>
    </row>
    <row r="33" spans="1:26" s="24" customFormat="1" hidden="1" outlineLevel="2" x14ac:dyDescent="0.3">
      <c r="A33" s="29"/>
      <c r="B33" s="11" t="str">
        <f>CONCATENATE("          ", "6115", " - ", "P.E.R.S.")</f>
        <v xml:space="preserve">          6115 - P.E.R.S.</v>
      </c>
      <c r="C33" s="11"/>
      <c r="D33" s="6">
        <v>3682.62</v>
      </c>
      <c r="E33" s="2"/>
      <c r="F33" s="7">
        <f t="shared" si="12"/>
        <v>3.1641953810009601E-2</v>
      </c>
      <c r="G33" s="2"/>
      <c r="H33" s="6">
        <v>2746.7421584615399</v>
      </c>
      <c r="I33" s="2"/>
      <c r="J33" s="7">
        <f t="shared" si="13"/>
        <v>2.5109398016852757E-2</v>
      </c>
      <c r="K33" s="2"/>
      <c r="L33" s="6">
        <f t="shared" si="14"/>
        <v>935.87784153845996</v>
      </c>
      <c r="M33" s="2"/>
      <c r="N33" s="7">
        <f t="shared" si="15"/>
        <v>0.34072285913529227</v>
      </c>
      <c r="O33" s="11"/>
      <c r="P33" s="6">
        <v>21030.74</v>
      </c>
      <c r="Q33" s="2"/>
      <c r="R33" s="7">
        <f t="shared" si="16"/>
        <v>3.1610163095938643E-2</v>
      </c>
      <c r="S33" s="2"/>
      <c r="T33" s="6">
        <v>17853.82403</v>
      </c>
      <c r="U33" s="2"/>
      <c r="V33" s="7">
        <f t="shared" si="17"/>
        <v>2.7321106550917316E-2</v>
      </c>
      <c r="W33" s="2"/>
      <c r="X33" s="6">
        <f t="shared" si="18"/>
        <v>3176.9159700000018</v>
      </c>
      <c r="Y33" s="2"/>
      <c r="Z33" s="7">
        <f t="shared" si="19"/>
        <v>0.17794036530559454</v>
      </c>
    </row>
    <row r="34" spans="1:26" s="24" customFormat="1" hidden="1" outlineLevel="2" x14ac:dyDescent="0.3">
      <c r="A34" s="29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3">
      <c r="A35" s="29"/>
      <c r="B35" s="11" t="str">
        <f>CONCATENATE("          ", "6118", " - ", "VACATION")</f>
        <v xml:space="preserve">          6118 - VACATION</v>
      </c>
      <c r="C35" s="11"/>
      <c r="D35" s="6">
        <v>3610.56</v>
      </c>
      <c r="E35" s="2"/>
      <c r="F35" s="7">
        <f t="shared" si="12"/>
        <v>3.1022797016327576E-2</v>
      </c>
      <c r="G35" s="2"/>
      <c r="H35" s="6">
        <v>2400.6637104615402</v>
      </c>
      <c r="I35" s="2"/>
      <c r="J35" s="7">
        <f t="shared" si="13"/>
        <v>2.194571500819574E-2</v>
      </c>
      <c r="K35" s="2"/>
      <c r="L35" s="6">
        <f t="shared" si="14"/>
        <v>1209.8962895384598</v>
      </c>
      <c r="M35" s="2"/>
      <c r="N35" s="7">
        <f t="shared" si="15"/>
        <v>0.50398407918027421</v>
      </c>
      <c r="O35" s="11"/>
      <c r="P35" s="6">
        <v>20359.830000000002</v>
      </c>
      <c r="Q35" s="2"/>
      <c r="R35" s="7">
        <f t="shared" si="16"/>
        <v>3.0601754712653213E-2</v>
      </c>
      <c r="S35" s="2"/>
      <c r="T35" s="6">
        <v>16116.838774</v>
      </c>
      <c r="U35" s="2"/>
      <c r="V35" s="7">
        <f t="shared" si="17"/>
        <v>2.4663056422451455E-2</v>
      </c>
      <c r="W35" s="2"/>
      <c r="X35" s="6">
        <f t="shared" si="18"/>
        <v>4242.9912260000019</v>
      </c>
      <c r="Y35" s="2"/>
      <c r="Z35" s="7">
        <f t="shared" si="19"/>
        <v>0.26326448291118221</v>
      </c>
    </row>
    <row r="36" spans="1:26" s="24" customFormat="1" hidden="1" outlineLevel="2" x14ac:dyDescent="0.3">
      <c r="A36" s="29"/>
      <c r="B36" s="11" t="str">
        <f>CONCATENATE("          ", "6119", " - ", "SICK LEAVE")</f>
        <v xml:space="preserve">          6119 - SICK LEAVE</v>
      </c>
      <c r="C36" s="11"/>
      <c r="D36" s="6">
        <v>2592.46</v>
      </c>
      <c r="E36" s="2"/>
      <c r="F36" s="7">
        <f t="shared" si="12"/>
        <v>2.2275037765041597E-2</v>
      </c>
      <c r="G36" s="2"/>
      <c r="H36" s="6">
        <v>1543.43673646154</v>
      </c>
      <c r="I36" s="2"/>
      <c r="J36" s="7">
        <f t="shared" si="13"/>
        <v>1.4109357593051897E-2</v>
      </c>
      <c r="K36" s="2"/>
      <c r="L36" s="6">
        <f t="shared" si="14"/>
        <v>1049.02326353846</v>
      </c>
      <c r="M36" s="2"/>
      <c r="N36" s="7">
        <f t="shared" si="15"/>
        <v>0.67966716014770712</v>
      </c>
      <c r="O36" s="11"/>
      <c r="P36" s="6">
        <v>13446.51</v>
      </c>
      <c r="Q36" s="2"/>
      <c r="R36" s="7">
        <f t="shared" si="16"/>
        <v>2.0210718889167471E-2</v>
      </c>
      <c r="S36" s="2"/>
      <c r="T36" s="6">
        <v>10130.680016</v>
      </c>
      <c r="U36" s="2"/>
      <c r="V36" s="7">
        <f t="shared" si="17"/>
        <v>1.5502638968845307E-2</v>
      </c>
      <c r="W36" s="2"/>
      <c r="X36" s="6">
        <f t="shared" si="18"/>
        <v>3315.829984</v>
      </c>
      <c r="Y36" s="2"/>
      <c r="Z36" s="7">
        <f t="shared" si="19"/>
        <v>0.32730576612459455</v>
      </c>
    </row>
    <row r="37" spans="1:26" s="24" customFormat="1" hidden="1" outlineLevel="2" x14ac:dyDescent="0.3">
      <c r="A37" s="29"/>
      <c r="B37" s="11" t="str">
        <f>CONCATENATE("          ", "6156", " - ", "EMPLOYEE MEALS")</f>
        <v xml:space="preserve">          6156 - EMPLOYEE MEALS</v>
      </c>
      <c r="C37" s="11"/>
      <c r="D37" s="6">
        <v>1992.78</v>
      </c>
      <c r="E37" s="2"/>
      <c r="F37" s="7">
        <f t="shared" si="12"/>
        <v>1.7122443454255648E-2</v>
      </c>
      <c r="G37" s="2"/>
      <c r="H37" s="6">
        <v>2025</v>
      </c>
      <c r="I37" s="2"/>
      <c r="J37" s="7">
        <f t="shared" si="13"/>
        <v>1.8511577734914207E-2</v>
      </c>
      <c r="K37" s="2"/>
      <c r="L37" s="6">
        <f t="shared" si="14"/>
        <v>-32.220000000000027</v>
      </c>
      <c r="M37" s="2"/>
      <c r="N37" s="7">
        <f t="shared" si="15"/>
        <v>-1.5911111111111126E-2</v>
      </c>
      <c r="O37" s="11"/>
      <c r="P37" s="6">
        <v>9155.5</v>
      </c>
      <c r="Q37" s="2"/>
      <c r="R37" s="7">
        <f t="shared" si="16"/>
        <v>1.3761134806709902E-2</v>
      </c>
      <c r="S37" s="2"/>
      <c r="T37" s="6">
        <v>12198</v>
      </c>
      <c r="U37" s="2"/>
      <c r="V37" s="7">
        <f t="shared" si="17"/>
        <v>1.8666189223558144E-2</v>
      </c>
      <c r="W37" s="2"/>
      <c r="X37" s="6">
        <f t="shared" si="18"/>
        <v>-3042.5</v>
      </c>
      <c r="Y37" s="2"/>
      <c r="Z37" s="7">
        <f t="shared" si="19"/>
        <v>-0.24942613543203804</v>
      </c>
    </row>
    <row r="38" spans="1:26" s="28" customFormat="1" outlineLevel="1" collapsed="1" x14ac:dyDescent="0.3">
      <c r="A38" s="27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76083.17</v>
      </c>
      <c r="E38" s="1"/>
      <c r="F38" s="5">
        <f t="shared" ref="F38:F48" si="20">IF(D$12=0,0,D38/D$12)</f>
        <v>0.65372483472612108</v>
      </c>
      <c r="G38" s="1"/>
      <c r="H38" s="1">
        <f>SUM(OSRRefH22_1x_0)</f>
        <v>67770.703010769197</v>
      </c>
      <c r="I38" s="1"/>
      <c r="J38" s="5">
        <f t="shared" ref="J38:J48" si="21">IF(H$12=0,0,H38/H$12)</f>
        <v>0.61952722811537697</v>
      </c>
      <c r="K38" s="1"/>
      <c r="L38" s="1">
        <f t="shared" ref="L38:L48" si="22">+D38-H38</f>
        <v>8312.4669892308011</v>
      </c>
      <c r="M38" s="1"/>
      <c r="N38" s="5">
        <f t="shared" ref="N38:N48" si="23">IF(H38=0,0,L38/H38)</f>
        <v>0.12265575860869994</v>
      </c>
      <c r="O38" s="14"/>
      <c r="P38" s="1">
        <f>SUM(OSRRefP22_1x_0)</f>
        <v>416451.29</v>
      </c>
      <c r="Q38" s="1"/>
      <c r="R38" s="5">
        <f t="shared" ref="R38:R48" si="24">IF(P$12=0,0,P38/P$12)</f>
        <v>0.62594531616167759</v>
      </c>
      <c r="S38" s="1"/>
      <c r="T38" s="1">
        <f>SUM(OSRRefT22_1x_0)</f>
        <v>450899.64451000001</v>
      </c>
      <c r="U38" s="1"/>
      <c r="V38" s="5">
        <f t="shared" ref="V38:V48" si="25">IF(T$12=0,0,T38/T$12)</f>
        <v>0.68999656380216101</v>
      </c>
      <c r="W38" s="1"/>
      <c r="X38" s="1">
        <f t="shared" ref="X38:X48" si="26">+P38-T38</f>
        <v>-34448.354510000034</v>
      </c>
      <c r="Y38" s="1"/>
      <c r="Z38" s="5">
        <f t="shared" ref="Z38:Z48" si="27">IF(T38=0,0,X38/T38)</f>
        <v>-7.6399160942864835E-2</v>
      </c>
    </row>
    <row r="39" spans="1:26" s="24" customFormat="1" hidden="1" outlineLevel="2" x14ac:dyDescent="0.3">
      <c r="A39" s="29"/>
      <c r="B39" s="11" t="str">
        <f>CONCATENATE("          ", "6001", " - ", "ADMINISTRATIVE SALARIES")</f>
        <v xml:space="preserve">          6001 - ADMINISTRATIVE SALARIES</v>
      </c>
      <c r="C39" s="11"/>
      <c r="D39" s="6">
        <v>10936.46</v>
      </c>
      <c r="E39" s="2"/>
      <c r="F39" s="7">
        <f t="shared" si="20"/>
        <v>9.3968685926057408E-2</v>
      </c>
      <c r="G39" s="2"/>
      <c r="H39" s="6">
        <v>10268.307692307701</v>
      </c>
      <c r="I39" s="2"/>
      <c r="J39" s="7">
        <f t="shared" si="21"/>
        <v>9.3867938791195801E-2</v>
      </c>
      <c r="K39" s="2"/>
      <c r="L39" s="6">
        <f t="shared" si="22"/>
        <v>668.15230769229856</v>
      </c>
      <c r="M39" s="2"/>
      <c r="N39" s="7">
        <f t="shared" si="23"/>
        <v>6.5069369531342694E-2</v>
      </c>
      <c r="O39" s="11"/>
      <c r="P39" s="6">
        <v>63869.77</v>
      </c>
      <c r="Q39" s="2"/>
      <c r="R39" s="7">
        <f t="shared" si="24"/>
        <v>9.5999182463388774E-2</v>
      </c>
      <c r="S39" s="2"/>
      <c r="T39" s="6">
        <v>66744</v>
      </c>
      <c r="U39" s="2"/>
      <c r="V39" s="7">
        <f t="shared" si="25"/>
        <v>0.10213609883072347</v>
      </c>
      <c r="W39" s="2"/>
      <c r="X39" s="6">
        <f t="shared" si="26"/>
        <v>-2874.2300000000032</v>
      </c>
      <c r="Y39" s="2"/>
      <c r="Z39" s="7">
        <f t="shared" si="27"/>
        <v>-4.3063496344240726E-2</v>
      </c>
    </row>
    <row r="40" spans="1:26" s="24" customFormat="1" hidden="1" outlineLevel="2" x14ac:dyDescent="0.3">
      <c r="A40" s="29"/>
      <c r="B40" s="11" t="str">
        <f>CONCATENATE("          ", "6002", " - ", "STAFF SALARIES")</f>
        <v xml:space="preserve">          6002 - STAFF SALARIES</v>
      </c>
      <c r="C40" s="11"/>
      <c r="D40" s="6">
        <v>24011.85</v>
      </c>
      <c r="E40" s="2"/>
      <c r="F40" s="7">
        <f t="shared" si="20"/>
        <v>0.20631557114035087</v>
      </c>
      <c r="G40" s="2"/>
      <c r="H40" s="6">
        <v>18954.873038461501</v>
      </c>
      <c r="I40" s="2"/>
      <c r="J40" s="7">
        <f t="shared" si="21"/>
        <v>0.17327634849723927</v>
      </c>
      <c r="K40" s="2"/>
      <c r="L40" s="6">
        <f t="shared" si="22"/>
        <v>5056.9769615384976</v>
      </c>
      <c r="M40" s="2"/>
      <c r="N40" s="7">
        <f t="shared" si="23"/>
        <v>0.26679033677921982</v>
      </c>
      <c r="O40" s="11"/>
      <c r="P40" s="6">
        <v>134948.25</v>
      </c>
      <c r="Q40" s="2"/>
      <c r="R40" s="7">
        <f t="shared" si="24"/>
        <v>0.20283338541637153</v>
      </c>
      <c r="S40" s="2"/>
      <c r="T40" s="6">
        <v>123206.67475000001</v>
      </c>
      <c r="U40" s="2"/>
      <c r="V40" s="7">
        <f t="shared" si="25"/>
        <v>0.18853903135668826</v>
      </c>
      <c r="W40" s="2"/>
      <c r="X40" s="6">
        <f t="shared" si="26"/>
        <v>11741.575249999994</v>
      </c>
      <c r="Y40" s="2"/>
      <c r="Z40" s="7">
        <f t="shared" si="27"/>
        <v>9.5299830742327493E-2</v>
      </c>
    </row>
    <row r="41" spans="1:26" s="24" customFormat="1" hidden="1" outlineLevel="2" x14ac:dyDescent="0.3">
      <c r="A41" s="29"/>
      <c r="B41" s="11" t="str">
        <f>CONCATENATE("          ", "6003", " - ", "STAFF HOURLY-9 MONTH")</f>
        <v xml:space="preserve">          6003 - STAFF HOURLY-9 MONTH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3">
      <c r="A42" s="29"/>
      <c r="B42" s="11" t="str">
        <f>CONCATENATE("          ", "6004", " - ", "STAFF HOURLY")</f>
        <v xml:space="preserve">          6004 - STAFF HOURLY</v>
      </c>
      <c r="C42" s="11"/>
      <c r="D42" s="6">
        <v>13267.98</v>
      </c>
      <c r="E42" s="2"/>
      <c r="F42" s="7">
        <f t="shared" si="20"/>
        <v>0.1140016646605219</v>
      </c>
      <c r="G42" s="2"/>
      <c r="H42" s="6">
        <v>10787.657279999999</v>
      </c>
      <c r="I42" s="2"/>
      <c r="J42" s="7">
        <f t="shared" si="21"/>
        <v>9.8615583366090442E-2</v>
      </c>
      <c r="K42" s="2"/>
      <c r="L42" s="6">
        <f t="shared" si="22"/>
        <v>2480.3227200000001</v>
      </c>
      <c r="M42" s="2"/>
      <c r="N42" s="7">
        <f t="shared" si="23"/>
        <v>0.22992227650747171</v>
      </c>
      <c r="O42" s="11"/>
      <c r="P42" s="6">
        <v>59125.120000000003</v>
      </c>
      <c r="Q42" s="2"/>
      <c r="R42" s="7">
        <f t="shared" si="24"/>
        <v>8.8867756734520215E-2</v>
      </c>
      <c r="S42" s="2"/>
      <c r="T42" s="6">
        <v>100556.21976000001</v>
      </c>
      <c r="U42" s="2"/>
      <c r="V42" s="7">
        <f t="shared" si="25"/>
        <v>0.1538778017417492</v>
      </c>
      <c r="W42" s="2"/>
      <c r="X42" s="6">
        <f t="shared" si="26"/>
        <v>-41431.099760000005</v>
      </c>
      <c r="Y42" s="2"/>
      <c r="Z42" s="7">
        <f t="shared" si="27"/>
        <v>-0.41201926503288039</v>
      </c>
    </row>
    <row r="43" spans="1:26" s="24" customFormat="1" hidden="1" outlineLevel="2" x14ac:dyDescent="0.3">
      <c r="A43" s="29"/>
      <c r="B43" s="11" t="str">
        <f>CONCATENATE("          ", "6005", " - ", "TEMPORARY WAGES-HOURLY")</f>
        <v xml:space="preserve">          6005 - TEMPORARY WAGES-HOURLY</v>
      </c>
      <c r="C43" s="11"/>
      <c r="D43" s="6">
        <v>13727.83</v>
      </c>
      <c r="E43" s="2"/>
      <c r="F43" s="7">
        <f t="shared" si="20"/>
        <v>0.11795280609231039</v>
      </c>
      <c r="G43" s="2"/>
      <c r="H43" s="6">
        <v>9345.9500000000007</v>
      </c>
      <c r="I43" s="2"/>
      <c r="J43" s="7">
        <f t="shared" si="21"/>
        <v>8.54361876205538E-2</v>
      </c>
      <c r="K43" s="2"/>
      <c r="L43" s="6">
        <f t="shared" si="22"/>
        <v>4381.8799999999992</v>
      </c>
      <c r="M43" s="2"/>
      <c r="N43" s="7">
        <f t="shared" si="23"/>
        <v>0.46885335359166258</v>
      </c>
      <c r="O43" s="11"/>
      <c r="P43" s="6">
        <v>75682.47</v>
      </c>
      <c r="Q43" s="2"/>
      <c r="R43" s="7">
        <f t="shared" si="24"/>
        <v>0.11375421027522013</v>
      </c>
      <c r="S43" s="2"/>
      <c r="T43" s="6">
        <v>56606.29</v>
      </c>
      <c r="U43" s="2"/>
      <c r="V43" s="7">
        <f t="shared" si="25"/>
        <v>8.6622702113756944E-2</v>
      </c>
      <c r="W43" s="2"/>
      <c r="X43" s="6">
        <f t="shared" si="26"/>
        <v>19076.18</v>
      </c>
      <c r="Y43" s="2"/>
      <c r="Z43" s="7">
        <f t="shared" si="27"/>
        <v>0.33699753154640588</v>
      </c>
    </row>
    <row r="44" spans="1:26" s="24" customFormat="1" hidden="1" outlineLevel="2" x14ac:dyDescent="0.3">
      <c r="A44" s="29"/>
      <c r="B44" s="11" t="str">
        <f>CONCATENATE("          ", "6006", " - ", "TEMPORARY PART TIME")</f>
        <v xml:space="preserve">          6006 - TEMPORARY PART TIME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9"/>
      <c r="B45" s="11" t="str">
        <f>CONCATENATE("          ", "6007", " - ", "STUDENT HOURLY")</f>
        <v xml:space="preserve">          6007 - STUDENT HOURLY</v>
      </c>
      <c r="C45" s="11"/>
      <c r="D45" s="6">
        <v>14139.05</v>
      </c>
      <c r="E45" s="2"/>
      <c r="F45" s="7">
        <f t="shared" si="20"/>
        <v>0.12148610690688048</v>
      </c>
      <c r="G45" s="2"/>
      <c r="H45" s="6">
        <v>992.31</v>
      </c>
      <c r="I45" s="2"/>
      <c r="J45" s="7">
        <f t="shared" si="21"/>
        <v>9.0712215813001061E-3</v>
      </c>
      <c r="K45" s="2"/>
      <c r="L45" s="6">
        <f t="shared" si="22"/>
        <v>13146.74</v>
      </c>
      <c r="M45" s="2"/>
      <c r="N45" s="7">
        <f t="shared" si="23"/>
        <v>13.248621902429685</v>
      </c>
      <c r="O45" s="11"/>
      <c r="P45" s="6">
        <v>82825.679999999993</v>
      </c>
      <c r="Q45" s="2"/>
      <c r="R45" s="7">
        <f t="shared" si="24"/>
        <v>0.12449078127217696</v>
      </c>
      <c r="S45" s="2"/>
      <c r="T45" s="6">
        <v>11330.26</v>
      </c>
      <c r="U45" s="2"/>
      <c r="V45" s="7">
        <f t="shared" si="25"/>
        <v>1.7338315880645345E-2</v>
      </c>
      <c r="W45" s="2"/>
      <c r="X45" s="6">
        <f t="shared" si="26"/>
        <v>71495.42</v>
      </c>
      <c r="Y45" s="2"/>
      <c r="Z45" s="7">
        <f t="shared" si="27"/>
        <v>6.3101305707018192</v>
      </c>
    </row>
    <row r="46" spans="1:26" s="24" customFormat="1" hidden="1" outlineLevel="2" x14ac:dyDescent="0.3">
      <c r="A46" s="29"/>
      <c r="B46" s="11" t="str">
        <f>CONCATENATE("          ", "6008", " - ", "STUDENT HOURLY-FICA EXEMPT")</f>
        <v xml:space="preserve">          6008 - STUDENT HOURLY-FICA EXEMPT</v>
      </c>
      <c r="C46" s="11"/>
      <c r="D46" s="6"/>
      <c r="E46" s="2"/>
      <c r="F46" s="7">
        <f t="shared" si="20"/>
        <v>0</v>
      </c>
      <c r="G46" s="2"/>
      <c r="H46" s="6">
        <v>17421.605</v>
      </c>
      <c r="I46" s="2"/>
      <c r="J46" s="7">
        <f t="shared" si="21"/>
        <v>0.15925994825899753</v>
      </c>
      <c r="K46" s="2"/>
      <c r="L46" s="6">
        <f t="shared" si="22"/>
        <v>-17421.605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92456.2</v>
      </c>
      <c r="U46" s="2"/>
      <c r="V46" s="7">
        <f t="shared" si="25"/>
        <v>0.14148261387859784</v>
      </c>
      <c r="W46" s="2"/>
      <c r="X46" s="6">
        <f t="shared" si="26"/>
        <v>-92456.2</v>
      </c>
      <c r="Y46" s="2"/>
      <c r="Z46" s="7">
        <f t="shared" si="27"/>
        <v>-1</v>
      </c>
    </row>
    <row r="47" spans="1:26" s="24" customFormat="1" hidden="1" outlineLevel="2" x14ac:dyDescent="0.3">
      <c r="A47" s="29"/>
      <c r="B47" s="11" t="str">
        <f>CONCATENATE("          ", "6009", " - ", "TEMPORARY-SEASONAL")</f>
        <v xml:space="preserve">          6009 - TEMPORARY-SEASONAL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3">
      <c r="A48" s="29"/>
      <c r="B48" s="11" t="str">
        <f>CONCATENATE("          ", "6010", " - ", "GRATUITY")</f>
        <v xml:space="preserve">          6010 - GRATUITY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8" customFormat="1" outlineLevel="1" collapsed="1" x14ac:dyDescent="0.3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43.53</v>
      </c>
      <c r="E49" s="1"/>
      <c r="F49" s="5">
        <f t="shared" ref="F49:F57" si="28">IF(D$12=0,0,D49/D$12)</f>
        <v>3.7402019468468588E-4</v>
      </c>
      <c r="G49" s="1"/>
      <c r="H49" s="1">
        <f>SUM(OSRRefH22_2x_0)</f>
        <v>0</v>
      </c>
      <c r="I49" s="1"/>
      <c r="J49" s="5">
        <f t="shared" ref="J49:J57" si="29">IF(H$12=0,0,H49/H$12)</f>
        <v>0</v>
      </c>
      <c r="K49" s="1"/>
      <c r="L49" s="1">
        <f t="shared" ref="L49:L57" si="30">+D49-H49</f>
        <v>43.53</v>
      </c>
      <c r="M49" s="1"/>
      <c r="N49" s="5">
        <f t="shared" ref="N49:N57" si="31">IF(H49=0,0,L49/H49)</f>
        <v>0</v>
      </c>
      <c r="O49" s="14"/>
      <c r="P49" s="1">
        <f>SUM(OSRRefP22_2x_0)</f>
        <v>1004.58</v>
      </c>
      <c r="Q49" s="1"/>
      <c r="R49" s="5">
        <f t="shared" ref="R49:R57" si="32">IF(P$12=0,0,P49/P$12)</f>
        <v>1.5099296383730692E-3</v>
      </c>
      <c r="S49" s="1"/>
      <c r="T49" s="1">
        <f>SUM(OSRRefT22_2x_0)</f>
        <v>0</v>
      </c>
      <c r="U49" s="1"/>
      <c r="V49" s="5">
        <f t="shared" ref="V49:V57" si="33">IF(T$12=0,0,T49/T$12)</f>
        <v>0</v>
      </c>
      <c r="W49" s="1"/>
      <c r="X49" s="1">
        <f t="shared" ref="X49:X57" si="34">+P49-T49</f>
        <v>1004.58</v>
      </c>
      <c r="Y49" s="1"/>
      <c r="Z49" s="5">
        <f t="shared" ref="Z49:Z57" si="35">IF(T49=0,0,X49/T49)</f>
        <v>0</v>
      </c>
    </row>
    <row r="50" spans="1:26" s="24" customFormat="1" hidden="1" outlineLevel="2" x14ac:dyDescent="0.3">
      <c r="A50" s="29"/>
      <c r="B50" s="11" t="str">
        <f>CONCATENATE("          ", "6362", " - ", "ADVERTISING EXPENSE")</f>
        <v xml:space="preserve">          6362 - ADVERTISING EXPENSE</v>
      </c>
      <c r="C50" s="11"/>
      <c r="D50" s="6">
        <v>43.53</v>
      </c>
      <c r="E50" s="2"/>
      <c r="F50" s="7">
        <f t="shared" si="28"/>
        <v>3.7402019468468588E-4</v>
      </c>
      <c r="G50" s="2"/>
      <c r="H50" s="6"/>
      <c r="I50" s="2"/>
      <c r="J50" s="7">
        <f t="shared" si="29"/>
        <v>0</v>
      </c>
      <c r="K50" s="2"/>
      <c r="L50" s="6">
        <f t="shared" si="30"/>
        <v>43.53</v>
      </c>
      <c r="M50" s="2"/>
      <c r="N50" s="7">
        <f t="shared" si="31"/>
        <v>0</v>
      </c>
      <c r="O50" s="11"/>
      <c r="P50" s="6">
        <v>1004.58</v>
      </c>
      <c r="Q50" s="2"/>
      <c r="R50" s="7">
        <f t="shared" si="32"/>
        <v>1.5099296383730692E-3</v>
      </c>
      <c r="S50" s="2"/>
      <c r="T50" s="6">
        <v>0</v>
      </c>
      <c r="U50" s="2"/>
      <c r="V50" s="7">
        <f t="shared" si="33"/>
        <v>0</v>
      </c>
      <c r="W50" s="2"/>
      <c r="X50" s="6">
        <f t="shared" si="34"/>
        <v>1004.58</v>
      </c>
      <c r="Y50" s="2"/>
      <c r="Z50" s="7">
        <f t="shared" si="35"/>
        <v>0</v>
      </c>
    </row>
    <row r="51" spans="1:26" s="28" customFormat="1" outlineLevel="1" collapsed="1" x14ac:dyDescent="0.3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45.6</v>
      </c>
      <c r="E51" s="1"/>
      <c r="F51" s="5">
        <f t="shared" si="28"/>
        <v>3.9180613088954001E-4</v>
      </c>
      <c r="G51" s="1"/>
      <c r="H51" s="1">
        <f>SUM(OSRRefH22_3x_0)</f>
        <v>10</v>
      </c>
      <c r="I51" s="1"/>
      <c r="J51" s="5">
        <f t="shared" si="29"/>
        <v>9.1415198690934356E-5</v>
      </c>
      <c r="K51" s="1"/>
      <c r="L51" s="1">
        <f t="shared" si="30"/>
        <v>35.6</v>
      </c>
      <c r="M51" s="1"/>
      <c r="N51" s="5">
        <f t="shared" si="31"/>
        <v>3.56</v>
      </c>
      <c r="O51" s="14"/>
      <c r="P51" s="1">
        <f>SUM(OSRRefP22_3x_0)</f>
        <v>-52.07</v>
      </c>
      <c r="Q51" s="1"/>
      <c r="R51" s="5">
        <f t="shared" si="32"/>
        <v>-7.8263589032317692E-5</v>
      </c>
      <c r="S51" s="1"/>
      <c r="T51" s="1">
        <f>SUM(OSRRefT22_3x_0)</f>
        <v>50</v>
      </c>
      <c r="U51" s="1"/>
      <c r="V51" s="5">
        <f t="shared" si="33"/>
        <v>7.651331867338147E-5</v>
      </c>
      <c r="W51" s="1"/>
      <c r="X51" s="1">
        <f t="shared" si="34"/>
        <v>-102.07</v>
      </c>
      <c r="Y51" s="1"/>
      <c r="Z51" s="5">
        <f t="shared" si="35"/>
        <v>-2.0413999999999999</v>
      </c>
    </row>
    <row r="52" spans="1:26" s="24" customFormat="1" hidden="1" outlineLevel="2" x14ac:dyDescent="0.3">
      <c r="A52" s="29"/>
      <c r="B52" s="11" t="str">
        <f>CONCATENATE("          ", "6272", " - ", "CASH (OVER/SHORT)")</f>
        <v xml:space="preserve">          6272 - CASH (OVER/SHORT)</v>
      </c>
      <c r="C52" s="11"/>
      <c r="D52" s="6">
        <v>45.6</v>
      </c>
      <c r="E52" s="2"/>
      <c r="F52" s="7">
        <f t="shared" si="28"/>
        <v>3.9180613088954001E-4</v>
      </c>
      <c r="G52" s="2"/>
      <c r="H52" s="6">
        <v>10</v>
      </c>
      <c r="I52" s="2"/>
      <c r="J52" s="7">
        <f t="shared" si="29"/>
        <v>9.1415198690934356E-5</v>
      </c>
      <c r="K52" s="2"/>
      <c r="L52" s="6">
        <f t="shared" si="30"/>
        <v>35.6</v>
      </c>
      <c r="M52" s="2"/>
      <c r="N52" s="7">
        <f t="shared" si="31"/>
        <v>3.56</v>
      </c>
      <c r="O52" s="11"/>
      <c r="P52" s="6">
        <v>-52.07</v>
      </c>
      <c r="Q52" s="2"/>
      <c r="R52" s="7">
        <f t="shared" si="32"/>
        <v>-7.8263589032317692E-5</v>
      </c>
      <c r="S52" s="2"/>
      <c r="T52" s="6">
        <v>50</v>
      </c>
      <c r="U52" s="2"/>
      <c r="V52" s="7">
        <f t="shared" si="33"/>
        <v>7.651331867338147E-5</v>
      </c>
      <c r="W52" s="2"/>
      <c r="X52" s="6">
        <f t="shared" si="34"/>
        <v>-102.07</v>
      </c>
      <c r="Y52" s="2"/>
      <c r="Z52" s="7">
        <f t="shared" si="35"/>
        <v>-2.0413999999999999</v>
      </c>
    </row>
    <row r="53" spans="1:26" s="28" customFormat="1" outlineLevel="1" collapsed="1" x14ac:dyDescent="0.3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4469.4399999999996</v>
      </c>
      <c r="E53" s="1"/>
      <c r="F53" s="5">
        <f t="shared" si="28"/>
        <v>3.8402499860590911E-2</v>
      </c>
      <c r="G53" s="1"/>
      <c r="H53" s="1">
        <f>SUM(OSRRefH22_4x_0)</f>
        <v>5830</v>
      </c>
      <c r="I53" s="1"/>
      <c r="J53" s="5">
        <f t="shared" si="29"/>
        <v>5.3295060836814727E-2</v>
      </c>
      <c r="K53" s="1"/>
      <c r="L53" s="1">
        <f t="shared" si="30"/>
        <v>-1360.5600000000004</v>
      </c>
      <c r="M53" s="1"/>
      <c r="N53" s="5">
        <f t="shared" si="31"/>
        <v>-0.23337221269296748</v>
      </c>
      <c r="O53" s="14"/>
      <c r="P53" s="1">
        <f>SUM(OSRRefP22_4x_0)</f>
        <v>26519.85</v>
      </c>
      <c r="Q53" s="1"/>
      <c r="R53" s="5">
        <f t="shared" si="32"/>
        <v>3.9860546218527179E-2</v>
      </c>
      <c r="S53" s="1"/>
      <c r="T53" s="1">
        <f>SUM(OSRRefT22_4x_0)</f>
        <v>33096.75</v>
      </c>
      <c r="U53" s="1"/>
      <c r="V53" s="5">
        <f t="shared" si="33"/>
        <v>5.0646843596064764E-2</v>
      </c>
      <c r="W53" s="1"/>
      <c r="X53" s="1">
        <f t="shared" si="34"/>
        <v>-6576.9000000000015</v>
      </c>
      <c r="Y53" s="1"/>
      <c r="Z53" s="5">
        <f t="shared" si="35"/>
        <v>-0.19871739672324326</v>
      </c>
    </row>
    <row r="54" spans="1:26" s="24" customFormat="1" hidden="1" outlineLevel="2" x14ac:dyDescent="0.3">
      <c r="A54" s="29"/>
      <c r="B54" s="11" t="str">
        <f>CONCATENATE("          ", "6381", " - ", "BANK/CREDIT CARD FEES")</f>
        <v xml:space="preserve">          6381 - BANK/CREDIT CARD FEES</v>
      </c>
      <c r="C54" s="11"/>
      <c r="D54" s="6">
        <v>4469.4399999999996</v>
      </c>
      <c r="E54" s="2"/>
      <c r="F54" s="7">
        <f t="shared" si="28"/>
        <v>3.8402499860590911E-2</v>
      </c>
      <c r="G54" s="2"/>
      <c r="H54" s="6">
        <v>5830</v>
      </c>
      <c r="I54" s="2"/>
      <c r="J54" s="7">
        <f t="shared" si="29"/>
        <v>5.3295060836814727E-2</v>
      </c>
      <c r="K54" s="2"/>
      <c r="L54" s="6">
        <f t="shared" si="30"/>
        <v>-1360.5600000000004</v>
      </c>
      <c r="M54" s="2"/>
      <c r="N54" s="7">
        <f t="shared" si="31"/>
        <v>-0.23337221269296748</v>
      </c>
      <c r="O54" s="11"/>
      <c r="P54" s="6">
        <v>26519.85</v>
      </c>
      <c r="Q54" s="2"/>
      <c r="R54" s="7">
        <f t="shared" si="32"/>
        <v>3.9860546218527179E-2</v>
      </c>
      <c r="S54" s="2"/>
      <c r="T54" s="6">
        <v>33096.75</v>
      </c>
      <c r="U54" s="2"/>
      <c r="V54" s="7">
        <f t="shared" si="33"/>
        <v>5.0646843596064764E-2</v>
      </c>
      <c r="W54" s="2"/>
      <c r="X54" s="6">
        <f t="shared" si="34"/>
        <v>-6576.9000000000015</v>
      </c>
      <c r="Y54" s="2"/>
      <c r="Z54" s="7">
        <f t="shared" si="35"/>
        <v>-0.19871739672324326</v>
      </c>
    </row>
    <row r="55" spans="1:26" s="28" customFormat="1" outlineLevel="1" collapsed="1" x14ac:dyDescent="0.3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39106.79</v>
      </c>
      <c r="E55" s="1"/>
      <c r="F55" s="5">
        <f t="shared" si="28"/>
        <v>0.33601491406600337</v>
      </c>
      <c r="G55" s="1"/>
      <c r="H55" s="1">
        <f>SUM(OSRRefH22_5x_0)</f>
        <v>39107</v>
      </c>
      <c r="I55" s="1"/>
      <c r="J55" s="5">
        <f t="shared" si="29"/>
        <v>0.35749741752063696</v>
      </c>
      <c r="K55" s="1"/>
      <c r="L55" s="1">
        <f t="shared" si="30"/>
        <v>-0.20999999999912689</v>
      </c>
      <c r="M55" s="1"/>
      <c r="N55" s="5">
        <f t="shared" si="31"/>
        <v>-5.3698826296859099E-6</v>
      </c>
      <c r="O55" s="14"/>
      <c r="P55" s="1">
        <f>SUM(OSRRefP22_5x_0)</f>
        <v>237161.24</v>
      </c>
      <c r="Q55" s="1"/>
      <c r="R55" s="5">
        <f t="shared" si="32"/>
        <v>0.35646417940762171</v>
      </c>
      <c r="S55" s="1"/>
      <c r="T55" s="1">
        <f>SUM(OSRRefT22_5x_0)</f>
        <v>237160</v>
      </c>
      <c r="U55" s="1"/>
      <c r="V55" s="5">
        <f t="shared" si="33"/>
        <v>0.36291797313158303</v>
      </c>
      <c r="W55" s="1"/>
      <c r="X55" s="1">
        <f t="shared" si="34"/>
        <v>1.2399999999906868</v>
      </c>
      <c r="Y55" s="1"/>
      <c r="Z55" s="5">
        <f t="shared" si="35"/>
        <v>5.2285376960308942E-6</v>
      </c>
    </row>
    <row r="56" spans="1:26" s="24" customFormat="1" hidden="1" outlineLevel="2" x14ac:dyDescent="0.3">
      <c r="A56" s="29"/>
      <c r="B56" s="11" t="str">
        <f>CONCATENATE("          ", "6321", " - ", "BUILDING DEPRECIATION")</f>
        <v xml:space="preserve">          6321 - BUILDING DEPRECIATION</v>
      </c>
      <c r="C56" s="11"/>
      <c r="D56" s="6">
        <v>28619.91</v>
      </c>
      <c r="E56" s="2"/>
      <c r="F56" s="7">
        <f t="shared" si="28"/>
        <v>0.24590912726988715</v>
      </c>
      <c r="G56" s="2"/>
      <c r="H56" s="6"/>
      <c r="I56" s="2"/>
      <c r="J56" s="7">
        <f t="shared" si="29"/>
        <v>0</v>
      </c>
      <c r="K56" s="2"/>
      <c r="L56" s="6">
        <f t="shared" si="30"/>
        <v>28619.91</v>
      </c>
      <c r="M56" s="2"/>
      <c r="N56" s="7">
        <f t="shared" si="31"/>
        <v>0</v>
      </c>
      <c r="O56" s="11"/>
      <c r="P56" s="6">
        <v>171807.6</v>
      </c>
      <c r="Q56" s="2"/>
      <c r="R56" s="7">
        <f t="shared" si="32"/>
        <v>0.25823467253752302</v>
      </c>
      <c r="S56" s="2"/>
      <c r="T56" s="6"/>
      <c r="U56" s="2"/>
      <c r="V56" s="7">
        <f t="shared" si="33"/>
        <v>0</v>
      </c>
      <c r="W56" s="2"/>
      <c r="X56" s="6">
        <f t="shared" si="34"/>
        <v>171807.6</v>
      </c>
      <c r="Y56" s="2"/>
      <c r="Z56" s="7">
        <f t="shared" si="35"/>
        <v>0</v>
      </c>
    </row>
    <row r="57" spans="1:26" s="24" customFormat="1" hidden="1" outlineLevel="2" x14ac:dyDescent="0.3">
      <c r="A57" s="29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10486.88</v>
      </c>
      <c r="E57" s="2"/>
      <c r="F57" s="7">
        <f t="shared" si="28"/>
        <v>9.0105786796116194E-2</v>
      </c>
      <c r="G57" s="2"/>
      <c r="H57" s="6">
        <v>39107</v>
      </c>
      <c r="I57" s="2"/>
      <c r="J57" s="7">
        <f t="shared" si="29"/>
        <v>0.35749741752063696</v>
      </c>
      <c r="K57" s="2"/>
      <c r="L57" s="6">
        <f t="shared" si="30"/>
        <v>-28620.120000000003</v>
      </c>
      <c r="M57" s="2"/>
      <c r="N57" s="7">
        <f t="shared" si="31"/>
        <v>-0.73184135832459674</v>
      </c>
      <c r="O57" s="11"/>
      <c r="P57" s="6">
        <v>65353.64</v>
      </c>
      <c r="Q57" s="2"/>
      <c r="R57" s="7">
        <f t="shared" si="32"/>
        <v>9.8229506870098682E-2</v>
      </c>
      <c r="S57" s="2"/>
      <c r="T57" s="6">
        <v>237160</v>
      </c>
      <c r="U57" s="2"/>
      <c r="V57" s="7">
        <f t="shared" si="33"/>
        <v>0.36291797313158303</v>
      </c>
      <c r="W57" s="2"/>
      <c r="X57" s="6">
        <f t="shared" si="34"/>
        <v>-171806.36</v>
      </c>
      <c r="Y57" s="2"/>
      <c r="Z57" s="7">
        <f t="shared" si="35"/>
        <v>-0.72443228200371057</v>
      </c>
    </row>
    <row r="58" spans="1:26" s="28" customFormat="1" outlineLevel="1" collapsed="1" x14ac:dyDescent="0.3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173.7</v>
      </c>
      <c r="E58" s="1"/>
      <c r="F58" s="5">
        <f t="shared" ref="F58:F73" si="36">IF(D$12=0,0,D58/D$12)</f>
        <v>1.4924720380594975E-3</v>
      </c>
      <c r="G58" s="1"/>
      <c r="H58" s="1">
        <f>SUM(OSRRefH22_6x_0)</f>
        <v>140</v>
      </c>
      <c r="I58" s="1"/>
      <c r="J58" s="5">
        <f t="shared" ref="J58:J73" si="37">IF(H$12=0,0,H58/H$12)</f>
        <v>1.279812781673081E-3</v>
      </c>
      <c r="K58" s="1"/>
      <c r="L58" s="1">
        <f t="shared" ref="L58:L73" si="38">+D58-H58</f>
        <v>33.699999999999989</v>
      </c>
      <c r="M58" s="1"/>
      <c r="N58" s="5">
        <f t="shared" ref="N58:N73" si="39">IF(H58=0,0,L58/H58)</f>
        <v>0.24071428571428563</v>
      </c>
      <c r="O58" s="14"/>
      <c r="P58" s="1">
        <f>SUM(OSRRefP22_6x_0)</f>
        <v>314.87</v>
      </c>
      <c r="Q58" s="1"/>
      <c r="R58" s="5">
        <f t="shared" ref="R58:R73" si="40">IF(P$12=0,0,P58/P$12)</f>
        <v>4.7326399613224258E-4</v>
      </c>
      <c r="S58" s="1"/>
      <c r="T58" s="1">
        <f>SUM(OSRRefT22_6x_0)</f>
        <v>260</v>
      </c>
      <c r="U58" s="1"/>
      <c r="V58" s="5">
        <f t="shared" ref="V58:V73" si="41">IF(T$12=0,0,T58/T$12)</f>
        <v>3.978692571015837E-4</v>
      </c>
      <c r="W58" s="1"/>
      <c r="X58" s="1">
        <f t="shared" ref="X58:X73" si="42">+P58-T58</f>
        <v>54.870000000000005</v>
      </c>
      <c r="Y58" s="1"/>
      <c r="Z58" s="5">
        <f t="shared" ref="Z58:Z73" si="43">IF(T58=0,0,X58/T58)</f>
        <v>0.21103846153846156</v>
      </c>
    </row>
    <row r="59" spans="1:26" s="24" customFormat="1" hidden="1" outlineLevel="2" x14ac:dyDescent="0.3">
      <c r="A59" s="29"/>
      <c r="B59" s="11" t="str">
        <f>CONCATENATE("          ", "6277", " - ", "EMPLOYEE APPRECIATION")</f>
        <v xml:space="preserve">          6277 - EMPLOYEE APPRECIATION</v>
      </c>
      <c r="C59" s="11"/>
      <c r="D59" s="6">
        <v>173.7</v>
      </c>
      <c r="E59" s="2"/>
      <c r="F59" s="7">
        <f t="shared" si="36"/>
        <v>1.4924720380594975E-3</v>
      </c>
      <c r="G59" s="2"/>
      <c r="H59" s="6">
        <v>140</v>
      </c>
      <c r="I59" s="2"/>
      <c r="J59" s="7">
        <f t="shared" si="37"/>
        <v>1.279812781673081E-3</v>
      </c>
      <c r="K59" s="2"/>
      <c r="L59" s="6">
        <f t="shared" si="38"/>
        <v>33.699999999999989</v>
      </c>
      <c r="M59" s="2"/>
      <c r="N59" s="7">
        <f t="shared" si="39"/>
        <v>0.24071428571428563</v>
      </c>
      <c r="O59" s="11"/>
      <c r="P59" s="6">
        <v>314.87</v>
      </c>
      <c r="Q59" s="2"/>
      <c r="R59" s="7">
        <f t="shared" si="40"/>
        <v>4.7326399613224258E-4</v>
      </c>
      <c r="S59" s="2"/>
      <c r="T59" s="6">
        <v>260</v>
      </c>
      <c r="U59" s="2"/>
      <c r="V59" s="7">
        <f t="shared" si="41"/>
        <v>3.978692571015837E-4</v>
      </c>
      <c r="W59" s="2"/>
      <c r="X59" s="6">
        <f t="shared" si="42"/>
        <v>54.870000000000005</v>
      </c>
      <c r="Y59" s="2"/>
      <c r="Z59" s="7">
        <f t="shared" si="43"/>
        <v>0.21103846153846156</v>
      </c>
    </row>
    <row r="60" spans="1:26" s="28" customFormat="1" outlineLevel="1" collapsed="1" x14ac:dyDescent="0.3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1746.76</v>
      </c>
      <c r="E60" s="1"/>
      <c r="F60" s="5">
        <f t="shared" si="36"/>
        <v>1.5008580640188878E-2</v>
      </c>
      <c r="G60" s="1"/>
      <c r="H60" s="1">
        <f>SUM(OSRRefH22_7x_0)</f>
        <v>951</v>
      </c>
      <c r="I60" s="1"/>
      <c r="J60" s="5">
        <f t="shared" si="37"/>
        <v>8.6935853955078576E-3</v>
      </c>
      <c r="K60" s="1"/>
      <c r="L60" s="1">
        <f t="shared" si="38"/>
        <v>795.76</v>
      </c>
      <c r="M60" s="1"/>
      <c r="N60" s="5">
        <f t="shared" si="39"/>
        <v>0.83676130389064141</v>
      </c>
      <c r="O60" s="14"/>
      <c r="P60" s="1">
        <f>SUM(OSRRefP22_7x_0)</f>
        <v>5398.15</v>
      </c>
      <c r="Q60" s="1"/>
      <c r="R60" s="5">
        <f t="shared" si="40"/>
        <v>8.1136660867064669E-3</v>
      </c>
      <c r="S60" s="1"/>
      <c r="T60" s="1">
        <f>SUM(OSRRefT22_7x_0)</f>
        <v>5706</v>
      </c>
      <c r="U60" s="1"/>
      <c r="V60" s="5">
        <f t="shared" si="41"/>
        <v>8.7316999270062937E-3</v>
      </c>
      <c r="W60" s="1"/>
      <c r="X60" s="1">
        <f t="shared" si="42"/>
        <v>-307.85000000000036</v>
      </c>
      <c r="Y60" s="1"/>
      <c r="Z60" s="5">
        <f t="shared" si="43"/>
        <v>-5.3951980371538796E-2</v>
      </c>
    </row>
    <row r="61" spans="1:26" s="24" customFormat="1" hidden="1" outlineLevel="2" x14ac:dyDescent="0.3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1746.76</v>
      </c>
      <c r="E61" s="2"/>
      <c r="F61" s="7">
        <f t="shared" si="36"/>
        <v>1.5008580640188878E-2</v>
      </c>
      <c r="G61" s="2"/>
      <c r="H61" s="6">
        <v>951</v>
      </c>
      <c r="I61" s="2"/>
      <c r="J61" s="7">
        <f t="shared" si="37"/>
        <v>8.6935853955078576E-3</v>
      </c>
      <c r="K61" s="2"/>
      <c r="L61" s="6">
        <f t="shared" si="38"/>
        <v>795.76</v>
      </c>
      <c r="M61" s="2"/>
      <c r="N61" s="7">
        <f t="shared" si="39"/>
        <v>0.83676130389064141</v>
      </c>
      <c r="O61" s="11"/>
      <c r="P61" s="6">
        <v>5398.15</v>
      </c>
      <c r="Q61" s="2"/>
      <c r="R61" s="7">
        <f t="shared" si="40"/>
        <v>8.1136660867064669E-3</v>
      </c>
      <c r="S61" s="2"/>
      <c r="T61" s="6">
        <v>5706</v>
      </c>
      <c r="U61" s="2"/>
      <c r="V61" s="7">
        <f t="shared" si="41"/>
        <v>8.7316999270062937E-3</v>
      </c>
      <c r="W61" s="2"/>
      <c r="X61" s="6">
        <f t="shared" si="42"/>
        <v>-307.85000000000036</v>
      </c>
      <c r="Y61" s="2"/>
      <c r="Z61" s="7">
        <f t="shared" si="43"/>
        <v>-5.3951980371538796E-2</v>
      </c>
    </row>
    <row r="62" spans="1:26" s="28" customFormat="1" outlineLevel="1" collapsed="1" x14ac:dyDescent="0.3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SUM(OSRRefD22_8x_0)</f>
        <v>1142.19</v>
      </c>
      <c r="E62" s="1"/>
      <c r="F62" s="5">
        <f t="shared" si="36"/>
        <v>9.8139702772088531E-3</v>
      </c>
      <c r="G62" s="1"/>
      <c r="H62" s="1">
        <f>SUM(OSRRefH22_8x_0)</f>
        <v>2865</v>
      </c>
      <c r="I62" s="1"/>
      <c r="J62" s="5">
        <f t="shared" si="37"/>
        <v>2.6190454424952693E-2</v>
      </c>
      <c r="K62" s="1"/>
      <c r="L62" s="1">
        <f t="shared" si="38"/>
        <v>-1722.81</v>
      </c>
      <c r="M62" s="1"/>
      <c r="N62" s="5">
        <f t="shared" si="39"/>
        <v>-0.60132984293193714</v>
      </c>
      <c r="O62" s="14"/>
      <c r="P62" s="1">
        <f>SUM(OSRRefP22_8x_0)</f>
        <v>17391.64</v>
      </c>
      <c r="Q62" s="1"/>
      <c r="R62" s="5">
        <f t="shared" si="40"/>
        <v>2.6140429528673279E-2</v>
      </c>
      <c r="S62" s="1"/>
      <c r="T62" s="1">
        <f>SUM(OSRRefT22_8x_0)</f>
        <v>6400</v>
      </c>
      <c r="U62" s="1"/>
      <c r="V62" s="5">
        <f t="shared" si="41"/>
        <v>9.7937047901928281E-3</v>
      </c>
      <c r="W62" s="1"/>
      <c r="X62" s="1">
        <f t="shared" si="42"/>
        <v>10991.64</v>
      </c>
      <c r="Y62" s="1"/>
      <c r="Z62" s="5">
        <f t="shared" si="43"/>
        <v>1.7174437499999999</v>
      </c>
    </row>
    <row r="63" spans="1:26" s="24" customFormat="1" hidden="1" outlineLevel="2" x14ac:dyDescent="0.3">
      <c r="A63" s="29"/>
      <c r="B63" s="11" t="str">
        <f>CONCATENATE("          ", "6279", " - ", "GENERAL EXPENSE")</f>
        <v xml:space="preserve">          6279 - GENERAL EXPENSE</v>
      </c>
      <c r="C63" s="11"/>
      <c r="D63" s="6">
        <v>1142.19</v>
      </c>
      <c r="E63" s="2"/>
      <c r="F63" s="7">
        <f t="shared" si="36"/>
        <v>9.8139702772088531E-3</v>
      </c>
      <c r="G63" s="2"/>
      <c r="H63" s="6">
        <v>2865</v>
      </c>
      <c r="I63" s="2"/>
      <c r="J63" s="7">
        <f t="shared" si="37"/>
        <v>2.6190454424952693E-2</v>
      </c>
      <c r="K63" s="2"/>
      <c r="L63" s="6">
        <f t="shared" si="38"/>
        <v>-1722.81</v>
      </c>
      <c r="M63" s="2"/>
      <c r="N63" s="7">
        <f t="shared" si="39"/>
        <v>-0.60132984293193714</v>
      </c>
      <c r="O63" s="11"/>
      <c r="P63" s="6">
        <v>17391.64</v>
      </c>
      <c r="Q63" s="2"/>
      <c r="R63" s="7">
        <f t="shared" si="40"/>
        <v>2.6140429528673279E-2</v>
      </c>
      <c r="S63" s="2"/>
      <c r="T63" s="6">
        <v>6400</v>
      </c>
      <c r="U63" s="2"/>
      <c r="V63" s="7">
        <f t="shared" si="41"/>
        <v>9.7937047901928281E-3</v>
      </c>
      <c r="W63" s="2"/>
      <c r="X63" s="6">
        <f t="shared" si="42"/>
        <v>10991.64</v>
      </c>
      <c r="Y63" s="2"/>
      <c r="Z63" s="7">
        <f t="shared" si="43"/>
        <v>1.7174437499999999</v>
      </c>
    </row>
    <row r="64" spans="1:26" s="28" customFormat="1" outlineLevel="1" collapsed="1" x14ac:dyDescent="0.3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SUM(OSRRefD22_9x_0)</f>
        <v>6087.22</v>
      </c>
      <c r="E64" s="1"/>
      <c r="F64" s="5">
        <f t="shared" si="36"/>
        <v>5.2302853422662846E-2</v>
      </c>
      <c r="G64" s="1"/>
      <c r="H64" s="1">
        <f>SUM(OSRRefH22_9x_0)</f>
        <v>6000</v>
      </c>
      <c r="I64" s="1"/>
      <c r="J64" s="5">
        <f t="shared" si="37"/>
        <v>5.4849119214560614E-2</v>
      </c>
      <c r="K64" s="1"/>
      <c r="L64" s="1">
        <f t="shared" si="38"/>
        <v>87.220000000000255</v>
      </c>
      <c r="M64" s="1"/>
      <c r="N64" s="5">
        <f t="shared" si="39"/>
        <v>1.453666666666671E-2</v>
      </c>
      <c r="O64" s="14"/>
      <c r="P64" s="1">
        <f>SUM(OSRRefP22_9x_0)</f>
        <v>43406.32</v>
      </c>
      <c r="Q64" s="1"/>
      <c r="R64" s="5">
        <f t="shared" si="40"/>
        <v>6.5241682156429268E-2</v>
      </c>
      <c r="S64" s="1"/>
      <c r="T64" s="1">
        <f>SUM(OSRRefT22_9x_0)</f>
        <v>36000</v>
      </c>
      <c r="U64" s="1"/>
      <c r="V64" s="5">
        <f t="shared" si="41"/>
        <v>5.5089589444834663E-2</v>
      </c>
      <c r="W64" s="1"/>
      <c r="X64" s="1">
        <f t="shared" si="42"/>
        <v>7406.32</v>
      </c>
      <c r="Y64" s="1"/>
      <c r="Z64" s="5">
        <f t="shared" si="43"/>
        <v>0.20573111111111111</v>
      </c>
    </row>
    <row r="65" spans="1:26" s="24" customFormat="1" hidden="1" outlineLevel="2" x14ac:dyDescent="0.3">
      <c r="A65" s="29"/>
      <c r="B65" s="11" t="str">
        <f>CONCATENATE("          ", "6314", " - ", "LIABILITY INSURANCE")</f>
        <v xml:space="preserve">          6314 - LIABILITY INSURANCE</v>
      </c>
      <c r="C65" s="11"/>
      <c r="D65" s="6">
        <v>6087.22</v>
      </c>
      <c r="E65" s="2"/>
      <c r="F65" s="7">
        <f t="shared" si="36"/>
        <v>5.2302853422662846E-2</v>
      </c>
      <c r="G65" s="2"/>
      <c r="H65" s="6">
        <v>6000</v>
      </c>
      <c r="I65" s="2"/>
      <c r="J65" s="7">
        <f t="shared" si="37"/>
        <v>5.4849119214560614E-2</v>
      </c>
      <c r="K65" s="2"/>
      <c r="L65" s="6">
        <f t="shared" si="38"/>
        <v>87.220000000000255</v>
      </c>
      <c r="M65" s="2"/>
      <c r="N65" s="7">
        <f t="shared" si="39"/>
        <v>1.453666666666671E-2</v>
      </c>
      <c r="O65" s="11"/>
      <c r="P65" s="6">
        <v>43406.32</v>
      </c>
      <c r="Q65" s="2"/>
      <c r="R65" s="7">
        <f t="shared" si="40"/>
        <v>6.5241682156429268E-2</v>
      </c>
      <c r="S65" s="2"/>
      <c r="T65" s="6">
        <v>36000</v>
      </c>
      <c r="U65" s="2"/>
      <c r="V65" s="7">
        <f t="shared" si="41"/>
        <v>5.5089589444834663E-2</v>
      </c>
      <c r="W65" s="2"/>
      <c r="X65" s="6">
        <f t="shared" si="42"/>
        <v>7406.32</v>
      </c>
      <c r="Y65" s="2"/>
      <c r="Z65" s="7">
        <f t="shared" si="43"/>
        <v>0.20573111111111111</v>
      </c>
    </row>
    <row r="66" spans="1:26" s="28" customFormat="1" outlineLevel="1" collapsed="1" x14ac:dyDescent="0.3">
      <c r="A66" s="27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SUM(OSRRefD22_10x_0)</f>
        <v>11158</v>
      </c>
      <c r="E66" s="1"/>
      <c r="F66" s="5">
        <f t="shared" si="36"/>
        <v>9.5872210711962433E-2</v>
      </c>
      <c r="G66" s="1"/>
      <c r="H66" s="1">
        <f>SUM(OSRRefH22_10x_0)</f>
        <v>11158</v>
      </c>
      <c r="I66" s="1"/>
      <c r="J66" s="5">
        <f t="shared" si="37"/>
        <v>0.10200107869934455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SUM(OSRRefP22_10x_0)</f>
        <v>66158</v>
      </c>
      <c r="Q66" s="1"/>
      <c r="R66" s="5">
        <f t="shared" si="40"/>
        <v>9.9438496700596762E-2</v>
      </c>
      <c r="S66" s="1"/>
      <c r="T66" s="1">
        <f>SUM(OSRRefT22_10x_0)</f>
        <v>66948</v>
      </c>
      <c r="U66" s="1"/>
      <c r="V66" s="5">
        <f t="shared" si="41"/>
        <v>0.10244827317091086</v>
      </c>
      <c r="W66" s="1"/>
      <c r="X66" s="1">
        <f t="shared" si="42"/>
        <v>-790</v>
      </c>
      <c r="Y66" s="1"/>
      <c r="Z66" s="5">
        <f t="shared" si="43"/>
        <v>-1.1800203142737647E-2</v>
      </c>
    </row>
    <row r="67" spans="1:26" s="24" customFormat="1" hidden="1" outlineLevel="2" x14ac:dyDescent="0.3">
      <c r="A67" s="29"/>
      <c r="B67" s="11" t="str">
        <f>CONCATENATE("          ", "6401", " - ", "INTEREST EXPENSE")</f>
        <v xml:space="preserve">          6401 - INTEREST EXPENSE</v>
      </c>
      <c r="C67" s="11"/>
      <c r="D67" s="6">
        <v>11158</v>
      </c>
      <c r="E67" s="2"/>
      <c r="F67" s="7">
        <f t="shared" si="36"/>
        <v>9.5872210711962433E-2</v>
      </c>
      <c r="G67" s="2"/>
      <c r="H67" s="6">
        <v>11158</v>
      </c>
      <c r="I67" s="2"/>
      <c r="J67" s="7">
        <f t="shared" si="37"/>
        <v>0.10200107869934455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66158</v>
      </c>
      <c r="Q67" s="2"/>
      <c r="R67" s="7">
        <f t="shared" si="40"/>
        <v>9.9438496700596762E-2</v>
      </c>
      <c r="S67" s="2"/>
      <c r="T67" s="6">
        <v>66948</v>
      </c>
      <c r="U67" s="2"/>
      <c r="V67" s="7">
        <f t="shared" si="41"/>
        <v>0.10244827317091086</v>
      </c>
      <c r="W67" s="2"/>
      <c r="X67" s="6">
        <f t="shared" si="42"/>
        <v>-790</v>
      </c>
      <c r="Y67" s="2"/>
      <c r="Z67" s="7">
        <f t="shared" si="43"/>
        <v>-1.1800203142737647E-2</v>
      </c>
    </row>
    <row r="68" spans="1:26" s="28" customFormat="1" outlineLevel="1" collapsed="1" x14ac:dyDescent="0.3">
      <c r="A68" s="27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SUM(OSRRefD22_11x_0)</f>
        <v>1850</v>
      </c>
      <c r="E68" s="1"/>
      <c r="F68" s="5">
        <f t="shared" si="36"/>
        <v>1.5895643468106336E-2</v>
      </c>
      <c r="G68" s="1"/>
      <c r="H68" s="1">
        <f>SUM(OSRRefH22_11x_0)</f>
        <v>1850</v>
      </c>
      <c r="I68" s="1"/>
      <c r="J68" s="5">
        <f t="shared" si="37"/>
        <v>1.6911811757822855E-2</v>
      </c>
      <c r="K68" s="1"/>
      <c r="L68" s="1">
        <f t="shared" si="38"/>
        <v>0</v>
      </c>
      <c r="M68" s="1"/>
      <c r="N68" s="5">
        <f t="shared" si="39"/>
        <v>0</v>
      </c>
      <c r="O68" s="14"/>
      <c r="P68" s="1">
        <f>SUM(OSRRefP22_11x_0)</f>
        <v>11100</v>
      </c>
      <c r="Q68" s="1"/>
      <c r="R68" s="5">
        <f t="shared" si="40"/>
        <v>1.6683807149197739E-2</v>
      </c>
      <c r="S68" s="1"/>
      <c r="T68" s="1">
        <f>SUM(OSRRefT22_11x_0)</f>
        <v>11100</v>
      </c>
      <c r="U68" s="1"/>
      <c r="V68" s="5">
        <f t="shared" si="41"/>
        <v>1.6985956745490687E-2</v>
      </c>
      <c r="W68" s="1"/>
      <c r="X68" s="1">
        <f t="shared" si="42"/>
        <v>0</v>
      </c>
      <c r="Y68" s="1"/>
      <c r="Z68" s="5">
        <f t="shared" si="43"/>
        <v>0</v>
      </c>
    </row>
    <row r="69" spans="1:26" s="24" customFormat="1" hidden="1" outlineLevel="2" x14ac:dyDescent="0.3">
      <c r="A69" s="29"/>
      <c r="B69" s="11" t="str">
        <f>CONCATENATE("          ", "6273", " - ", "RENT")</f>
        <v xml:space="preserve">          6273 - RENT</v>
      </c>
      <c r="C69" s="11"/>
      <c r="D69" s="6">
        <v>1850</v>
      </c>
      <c r="E69" s="2"/>
      <c r="F69" s="7">
        <f t="shared" si="36"/>
        <v>1.5895643468106336E-2</v>
      </c>
      <c r="G69" s="2"/>
      <c r="H69" s="6">
        <v>1850</v>
      </c>
      <c r="I69" s="2"/>
      <c r="J69" s="7">
        <f t="shared" si="37"/>
        <v>1.6911811757822855E-2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>
        <v>11100</v>
      </c>
      <c r="Q69" s="2"/>
      <c r="R69" s="7">
        <f t="shared" si="40"/>
        <v>1.6683807149197739E-2</v>
      </c>
      <c r="S69" s="2"/>
      <c r="T69" s="6">
        <v>11100</v>
      </c>
      <c r="U69" s="2"/>
      <c r="V69" s="7">
        <f t="shared" si="41"/>
        <v>1.6985956745490687E-2</v>
      </c>
      <c r="W69" s="2"/>
      <c r="X69" s="6">
        <f t="shared" si="42"/>
        <v>0</v>
      </c>
      <c r="Y69" s="2"/>
      <c r="Z69" s="7">
        <f t="shared" si="43"/>
        <v>0</v>
      </c>
    </row>
    <row r="70" spans="1:26" s="28" customFormat="1" outlineLevel="1" collapsed="1" x14ac:dyDescent="0.3">
      <c r="A70" s="27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SUM(OSRRefD22_12x_0)</f>
        <v>11316.02</v>
      </c>
      <c r="E70" s="1"/>
      <c r="F70" s="5">
        <f t="shared" si="36"/>
        <v>9.7229956431330103E-2</v>
      </c>
      <c r="G70" s="1"/>
      <c r="H70" s="1">
        <f>SUM(OSRRefH22_12x_0)</f>
        <v>3639</v>
      </c>
      <c r="I70" s="1"/>
      <c r="J70" s="5">
        <f t="shared" si="37"/>
        <v>3.3265990803631011E-2</v>
      </c>
      <c r="K70" s="1"/>
      <c r="L70" s="1">
        <f t="shared" si="38"/>
        <v>7677.02</v>
      </c>
      <c r="M70" s="1"/>
      <c r="N70" s="5">
        <f t="shared" si="39"/>
        <v>2.1096510030228086</v>
      </c>
      <c r="O70" s="14"/>
      <c r="P70" s="1">
        <f>SUM(OSRRefP22_12x_0)</f>
        <v>55866.26</v>
      </c>
      <c r="Q70" s="1"/>
      <c r="R70" s="5">
        <f t="shared" si="40"/>
        <v>8.3969541260084671E-2</v>
      </c>
      <c r="S70" s="1"/>
      <c r="T70" s="1">
        <f>SUM(OSRRefT22_12x_0)</f>
        <v>31543</v>
      </c>
      <c r="U70" s="1"/>
      <c r="V70" s="5">
        <f t="shared" si="41"/>
        <v>4.8269192218289438E-2</v>
      </c>
      <c r="W70" s="1"/>
      <c r="X70" s="1">
        <f t="shared" si="42"/>
        <v>24323.260000000002</v>
      </c>
      <c r="Y70" s="1"/>
      <c r="Z70" s="5">
        <f t="shared" si="43"/>
        <v>0.77111435183717469</v>
      </c>
    </row>
    <row r="71" spans="1:26" s="24" customFormat="1" hidden="1" outlineLevel="2" x14ac:dyDescent="0.3">
      <c r="A71" s="29"/>
      <c r="B71" s="11" t="str">
        <f>CONCATENATE("          ", "6371", " - ", "COMPUTER SOFTWARE MAINTENANCE")</f>
        <v xml:space="preserve">          6371 - COMPUTER SOFTWARE MAINTENANCE</v>
      </c>
      <c r="C71" s="11"/>
      <c r="D71" s="6">
        <v>618.36</v>
      </c>
      <c r="E71" s="2"/>
      <c r="F71" s="7">
        <f t="shared" si="36"/>
        <v>5.3130973486152618E-3</v>
      </c>
      <c r="G71" s="2"/>
      <c r="H71" s="6"/>
      <c r="I71" s="2"/>
      <c r="J71" s="7">
        <f t="shared" si="37"/>
        <v>0</v>
      </c>
      <c r="K71" s="2"/>
      <c r="L71" s="6">
        <f t="shared" si="38"/>
        <v>618.36</v>
      </c>
      <c r="M71" s="2"/>
      <c r="N71" s="7">
        <f t="shared" si="39"/>
        <v>0</v>
      </c>
      <c r="O71" s="11"/>
      <c r="P71" s="6">
        <v>6336.08</v>
      </c>
      <c r="Q71" s="2"/>
      <c r="R71" s="7">
        <f t="shared" si="40"/>
        <v>9.5234177298998933E-3</v>
      </c>
      <c r="S71" s="2"/>
      <c r="T71" s="6">
        <v>2623</v>
      </c>
      <c r="U71" s="2"/>
      <c r="V71" s="7">
        <f t="shared" si="41"/>
        <v>4.0138886976055924E-3</v>
      </c>
      <c r="W71" s="2"/>
      <c r="X71" s="6">
        <f t="shared" si="42"/>
        <v>3713.08</v>
      </c>
      <c r="Y71" s="2"/>
      <c r="Z71" s="7">
        <f t="shared" si="43"/>
        <v>1.4155852077773541</v>
      </c>
    </row>
    <row r="72" spans="1:26" s="24" customFormat="1" hidden="1" outlineLevel="2" x14ac:dyDescent="0.3">
      <c r="A72" s="29"/>
      <c r="B72" s="11" t="str">
        <f>CONCATENATE("          ", "6373", " - ", "MAINTENANCE CONTRACTS")</f>
        <v xml:space="preserve">          6373 - MAINTENANCE CONTRACTS</v>
      </c>
      <c r="C72" s="11"/>
      <c r="D72" s="6">
        <v>5060.55</v>
      </c>
      <c r="E72" s="2"/>
      <c r="F72" s="7">
        <f t="shared" si="36"/>
        <v>4.3481458677040827E-2</v>
      </c>
      <c r="G72" s="2"/>
      <c r="H72" s="6">
        <v>1263</v>
      </c>
      <c r="I72" s="2"/>
      <c r="J72" s="7">
        <f t="shared" si="37"/>
        <v>1.1545739594665009E-2</v>
      </c>
      <c r="K72" s="2"/>
      <c r="L72" s="6">
        <f t="shared" si="38"/>
        <v>3797.55</v>
      </c>
      <c r="M72" s="2"/>
      <c r="N72" s="7">
        <f t="shared" si="39"/>
        <v>3.0067695961995251</v>
      </c>
      <c r="O72" s="11"/>
      <c r="P72" s="6">
        <v>11923.63</v>
      </c>
      <c r="Q72" s="2"/>
      <c r="R72" s="7">
        <f t="shared" si="40"/>
        <v>1.7921760670125103E-2</v>
      </c>
      <c r="S72" s="2"/>
      <c r="T72" s="6">
        <v>4421</v>
      </c>
      <c r="U72" s="2"/>
      <c r="V72" s="7">
        <f t="shared" si="41"/>
        <v>6.7653076371003897E-3</v>
      </c>
      <c r="W72" s="2"/>
      <c r="X72" s="6">
        <f t="shared" si="42"/>
        <v>7502.6299999999992</v>
      </c>
      <c r="Y72" s="2"/>
      <c r="Z72" s="7">
        <f t="shared" si="43"/>
        <v>1.6970436552816104</v>
      </c>
    </row>
    <row r="73" spans="1:26" s="24" customFormat="1" hidden="1" outlineLevel="2" x14ac:dyDescent="0.3">
      <c r="A73" s="29"/>
      <c r="B73" s="11" t="str">
        <f>CONCATENATE("          ", "6375", " - ", "OUTSIDE REPAIRS &amp; MAINTENANCE")</f>
        <v xml:space="preserve">          6375 - OUTSIDE REPAIRS &amp; MAINTENANCE</v>
      </c>
      <c r="C73" s="11"/>
      <c r="D73" s="6">
        <v>5637.11</v>
      </c>
      <c r="E73" s="2"/>
      <c r="F73" s="7">
        <f t="shared" si="36"/>
        <v>4.8435400405674005E-2</v>
      </c>
      <c r="G73" s="2"/>
      <c r="H73" s="6">
        <v>2376</v>
      </c>
      <c r="I73" s="2"/>
      <c r="J73" s="7">
        <f t="shared" si="37"/>
        <v>2.1720251208966004E-2</v>
      </c>
      <c r="K73" s="2"/>
      <c r="L73" s="6">
        <f t="shared" si="38"/>
        <v>3261.1099999999997</v>
      </c>
      <c r="M73" s="2"/>
      <c r="N73" s="7">
        <f t="shared" si="39"/>
        <v>1.3725210437710436</v>
      </c>
      <c r="O73" s="11"/>
      <c r="P73" s="6">
        <v>37606.550000000003</v>
      </c>
      <c r="Q73" s="2"/>
      <c r="R73" s="7">
        <f t="shared" si="40"/>
        <v>5.6524362860059671E-2</v>
      </c>
      <c r="S73" s="2"/>
      <c r="T73" s="6">
        <v>24499</v>
      </c>
      <c r="U73" s="2"/>
      <c r="V73" s="7">
        <f t="shared" si="41"/>
        <v>3.7489995883583455E-2</v>
      </c>
      <c r="W73" s="2"/>
      <c r="X73" s="6">
        <f t="shared" si="42"/>
        <v>13107.550000000003</v>
      </c>
      <c r="Y73" s="2"/>
      <c r="Z73" s="7">
        <f t="shared" si="43"/>
        <v>0.53502387852565425</v>
      </c>
    </row>
    <row r="74" spans="1:26" s="28" customFormat="1" outlineLevel="1" collapsed="1" x14ac:dyDescent="0.3">
      <c r="A74" s="27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SUM(OSRRefD22_13x_0)</f>
        <v>412.47</v>
      </c>
      <c r="E74" s="1"/>
      <c r="F74" s="5">
        <f t="shared" ref="F74:F76" si="44">IF(D$12=0,0,D74/D$12)</f>
        <v>3.5440411142107142E-3</v>
      </c>
      <c r="G74" s="1"/>
      <c r="H74" s="1">
        <f>SUM(OSRRefH22_13x_0)</f>
        <v>612</v>
      </c>
      <c r="I74" s="1"/>
      <c r="J74" s="5">
        <f t="shared" ref="J74:J76" si="45">IF(H$12=0,0,H74/H$12)</f>
        <v>5.5946101598851822E-3</v>
      </c>
      <c r="K74" s="1"/>
      <c r="L74" s="1">
        <f t="shared" ref="L74:L76" si="46">+D74-H74</f>
        <v>-199.52999999999997</v>
      </c>
      <c r="M74" s="1"/>
      <c r="N74" s="5">
        <f t="shared" ref="N74:N76" si="47">IF(H74=0,0,L74/H74)</f>
        <v>-0.32602941176470585</v>
      </c>
      <c r="O74" s="14"/>
      <c r="P74" s="1">
        <f>SUM(OSRRefP22_13x_0)</f>
        <v>1844.91</v>
      </c>
      <c r="Q74" s="1"/>
      <c r="R74" s="5">
        <f t="shared" ref="R74:R76" si="48">IF(P$12=0,0,P74/P$12)</f>
        <v>2.7729840223086853E-3</v>
      </c>
      <c r="S74" s="1"/>
      <c r="T74" s="1">
        <f>SUM(OSRRefT22_13x_0)</f>
        <v>4272</v>
      </c>
      <c r="U74" s="1"/>
      <c r="V74" s="5">
        <f t="shared" ref="V74:V76" si="49">IF(T$12=0,0,T74/T$12)</f>
        <v>6.5372979474537136E-3</v>
      </c>
      <c r="W74" s="1"/>
      <c r="X74" s="1">
        <f t="shared" ref="X74:X76" si="50">+P74-T74</f>
        <v>-2427.09</v>
      </c>
      <c r="Y74" s="1"/>
      <c r="Z74" s="5">
        <f t="shared" ref="Z74:Z76" si="51">IF(T74=0,0,X74/T74)</f>
        <v>-0.56813904494382028</v>
      </c>
    </row>
    <row r="75" spans="1:26" s="24" customFormat="1" hidden="1" outlineLevel="2" x14ac:dyDescent="0.3">
      <c r="A75" s="29"/>
      <c r="B75" s="11" t="str">
        <f>CONCATENATE("          ", "6254", " - ", "ROYALTY &amp; COMMISSIONS")</f>
        <v xml:space="preserve">          6254 - ROYALTY &amp; COMMISSIONS</v>
      </c>
      <c r="C75" s="11"/>
      <c r="D75" s="6">
        <v>412.47</v>
      </c>
      <c r="E75" s="2"/>
      <c r="F75" s="7">
        <f t="shared" si="44"/>
        <v>3.5440411142107142E-3</v>
      </c>
      <c r="G75" s="2"/>
      <c r="H75" s="6"/>
      <c r="I75" s="2"/>
      <c r="J75" s="7">
        <f t="shared" si="45"/>
        <v>0</v>
      </c>
      <c r="K75" s="2"/>
      <c r="L75" s="6">
        <f t="shared" si="46"/>
        <v>412.47</v>
      </c>
      <c r="M75" s="2"/>
      <c r="N75" s="7">
        <f t="shared" si="47"/>
        <v>0</v>
      </c>
      <c r="O75" s="11"/>
      <c r="P75" s="6">
        <v>1844.91</v>
      </c>
      <c r="Q75" s="2"/>
      <c r="R75" s="7">
        <f t="shared" si="48"/>
        <v>2.7729840223086853E-3</v>
      </c>
      <c r="S75" s="2"/>
      <c r="T75" s="6"/>
      <c r="U75" s="2"/>
      <c r="V75" s="7">
        <f t="shared" si="49"/>
        <v>0</v>
      </c>
      <c r="W75" s="2"/>
      <c r="X75" s="6">
        <f t="shared" si="50"/>
        <v>1844.91</v>
      </c>
      <c r="Y75" s="2"/>
      <c r="Z75" s="7">
        <f t="shared" si="51"/>
        <v>0</v>
      </c>
    </row>
    <row r="76" spans="1:26" s="24" customFormat="1" hidden="1" outlineLevel="2" x14ac:dyDescent="0.3">
      <c r="A76" s="29"/>
      <c r="B76" s="11" t="str">
        <f>CONCATENATE("          ", "6259", " - ", "ROYALTY &amp; COMMISSIONS")</f>
        <v xml:space="preserve">          6259 - ROYALTY &amp; COMMISSIONS</v>
      </c>
      <c r="C76" s="11"/>
      <c r="D76" s="6"/>
      <c r="E76" s="2"/>
      <c r="F76" s="7">
        <f t="shared" si="44"/>
        <v>0</v>
      </c>
      <c r="G76" s="2"/>
      <c r="H76" s="6">
        <v>612</v>
      </c>
      <c r="I76" s="2"/>
      <c r="J76" s="7">
        <f t="shared" si="45"/>
        <v>5.5946101598851822E-3</v>
      </c>
      <c r="K76" s="2"/>
      <c r="L76" s="6">
        <f t="shared" si="46"/>
        <v>-612</v>
      </c>
      <c r="M76" s="2"/>
      <c r="N76" s="7">
        <f t="shared" si="47"/>
        <v>-1</v>
      </c>
      <c r="O76" s="11"/>
      <c r="P76" s="6"/>
      <c r="Q76" s="2"/>
      <c r="R76" s="7">
        <f t="shared" si="48"/>
        <v>0</v>
      </c>
      <c r="S76" s="2"/>
      <c r="T76" s="6">
        <v>4272</v>
      </c>
      <c r="U76" s="2"/>
      <c r="V76" s="7">
        <f t="shared" si="49"/>
        <v>6.5372979474537136E-3</v>
      </c>
      <c r="W76" s="2"/>
      <c r="X76" s="6">
        <f t="shared" si="50"/>
        <v>-4272</v>
      </c>
      <c r="Y76" s="2"/>
      <c r="Z76" s="7">
        <f t="shared" si="51"/>
        <v>-1</v>
      </c>
    </row>
    <row r="77" spans="1:26" s="28" customFormat="1" outlineLevel="1" collapsed="1" x14ac:dyDescent="0.3">
      <c r="A77" s="27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SUM(OSRRefD22_14x_0)</f>
        <v>2626.56</v>
      </c>
      <c r="E77" s="1"/>
      <c r="F77" s="5">
        <f t="shared" ref="F77:F82" si="52">IF(D$12=0,0,D77/D$12)</f>
        <v>2.2568033139237501E-2</v>
      </c>
      <c r="G77" s="1"/>
      <c r="H77" s="1">
        <f>SUM(OSRRefH22_14x_0)</f>
        <v>11287</v>
      </c>
      <c r="I77" s="1"/>
      <c r="J77" s="5">
        <f t="shared" ref="J77:J82" si="53">IF(H$12=0,0,H77/H$12)</f>
        <v>0.10318033476245761</v>
      </c>
      <c r="K77" s="1"/>
      <c r="L77" s="1">
        <f t="shared" ref="L77:L82" si="54">+D77-H77</f>
        <v>-8660.44</v>
      </c>
      <c r="M77" s="1"/>
      <c r="N77" s="5">
        <f t="shared" ref="N77:N82" si="55">IF(H77=0,0,L77/H77)</f>
        <v>-0.76729334632763357</v>
      </c>
      <c r="O77" s="14"/>
      <c r="P77" s="1">
        <f>SUM(OSRRefP22_14x_0)</f>
        <v>51720.000000000007</v>
      </c>
      <c r="Q77" s="1"/>
      <c r="R77" s="5">
        <f t="shared" ref="R77:R82" si="56">IF(P$12=0,0,P77/P$12)</f>
        <v>7.7737523041126785E-2</v>
      </c>
      <c r="S77" s="1"/>
      <c r="T77" s="1">
        <f>SUM(OSRRefT22_14x_0)</f>
        <v>63470</v>
      </c>
      <c r="U77" s="1"/>
      <c r="V77" s="5">
        <f t="shared" ref="V77:V82" si="57">IF(T$12=0,0,T77/T$12)</f>
        <v>9.7126006723990452E-2</v>
      </c>
      <c r="W77" s="1"/>
      <c r="X77" s="1">
        <f t="shared" ref="X77:X82" si="58">+P77-T77</f>
        <v>-11749.999999999993</v>
      </c>
      <c r="Y77" s="1"/>
      <c r="Z77" s="5">
        <f t="shared" ref="Z77:Z82" si="59">IF(T77=0,0,X77/T77)</f>
        <v>-0.18512683157397183</v>
      </c>
    </row>
    <row r="78" spans="1:26" s="24" customFormat="1" hidden="1" outlineLevel="2" x14ac:dyDescent="0.3">
      <c r="A78" s="29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1729.9</v>
      </c>
      <c r="E78" s="2"/>
      <c r="F78" s="7">
        <f t="shared" si="52"/>
        <v>1.4863715478636299E-2</v>
      </c>
      <c r="G78" s="2"/>
      <c r="H78" s="6">
        <v>1386</v>
      </c>
      <c r="I78" s="2"/>
      <c r="J78" s="7">
        <f t="shared" si="53"/>
        <v>1.2670146538563501E-2</v>
      </c>
      <c r="K78" s="2"/>
      <c r="L78" s="6">
        <f t="shared" si="54"/>
        <v>343.90000000000009</v>
      </c>
      <c r="M78" s="2"/>
      <c r="N78" s="7">
        <f t="shared" si="55"/>
        <v>0.24812409812409819</v>
      </c>
      <c r="O78" s="11"/>
      <c r="P78" s="6">
        <v>8503.26</v>
      </c>
      <c r="Q78" s="2"/>
      <c r="R78" s="7">
        <f t="shared" si="56"/>
        <v>1.2780788286440288E-2</v>
      </c>
      <c r="S78" s="2"/>
      <c r="T78" s="6">
        <v>7958</v>
      </c>
      <c r="U78" s="2"/>
      <c r="V78" s="7">
        <f t="shared" si="57"/>
        <v>1.2177859800055396E-2</v>
      </c>
      <c r="W78" s="2"/>
      <c r="X78" s="6">
        <f t="shared" si="58"/>
        <v>545.26000000000022</v>
      </c>
      <c r="Y78" s="2"/>
      <c r="Z78" s="7">
        <f t="shared" si="59"/>
        <v>6.8517215380748953E-2</v>
      </c>
    </row>
    <row r="79" spans="1:26" s="24" customFormat="1" hidden="1" outlineLevel="2" x14ac:dyDescent="0.3">
      <c r="A79" s="29"/>
      <c r="B79" s="11" t="str">
        <f>CONCATENATE("          ", "6283", " - ", "PLANT SERVICE")</f>
        <v xml:space="preserve">          6283 - PLANT SERVICE</v>
      </c>
      <c r="C79" s="11"/>
      <c r="D79" s="6"/>
      <c r="E79" s="2"/>
      <c r="F79" s="7">
        <f t="shared" si="52"/>
        <v>0</v>
      </c>
      <c r="G79" s="2"/>
      <c r="H79" s="6">
        <v>100</v>
      </c>
      <c r="I79" s="2"/>
      <c r="J79" s="7">
        <f t="shared" si="53"/>
        <v>9.1415198690934351E-4</v>
      </c>
      <c r="K79" s="2"/>
      <c r="L79" s="6">
        <f t="shared" si="54"/>
        <v>-100</v>
      </c>
      <c r="M79" s="2"/>
      <c r="N79" s="7">
        <f t="shared" si="55"/>
        <v>-1</v>
      </c>
      <c r="O79" s="11"/>
      <c r="P79" s="6"/>
      <c r="Q79" s="2"/>
      <c r="R79" s="7">
        <f t="shared" si="56"/>
        <v>0</v>
      </c>
      <c r="S79" s="2"/>
      <c r="T79" s="6">
        <v>600</v>
      </c>
      <c r="U79" s="2"/>
      <c r="V79" s="7">
        <f t="shared" si="57"/>
        <v>9.1815982408057775E-4</v>
      </c>
      <c r="W79" s="2"/>
      <c r="X79" s="6">
        <f t="shared" si="58"/>
        <v>-600</v>
      </c>
      <c r="Y79" s="2"/>
      <c r="Z79" s="7">
        <f t="shared" si="59"/>
        <v>-1</v>
      </c>
    </row>
    <row r="80" spans="1:26" s="24" customFormat="1" hidden="1" outlineLevel="2" x14ac:dyDescent="0.3">
      <c r="A80" s="29"/>
      <c r="B80" s="11" t="str">
        <f>CONCATENATE("          ", "6284", " - ", "TRASH REMOVAL EXPENSE")</f>
        <v xml:space="preserve">          6284 - TRASH REMOVAL EXPENSE</v>
      </c>
      <c r="C80" s="11"/>
      <c r="D80" s="6"/>
      <c r="E80" s="2"/>
      <c r="F80" s="7">
        <f t="shared" si="52"/>
        <v>0</v>
      </c>
      <c r="G80" s="2"/>
      <c r="H80" s="6">
        <v>1000</v>
      </c>
      <c r="I80" s="2"/>
      <c r="J80" s="7">
        <f t="shared" si="53"/>
        <v>9.1415198690934351E-3</v>
      </c>
      <c r="K80" s="2"/>
      <c r="L80" s="6">
        <f t="shared" si="54"/>
        <v>-1000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6000</v>
      </c>
      <c r="U80" s="2"/>
      <c r="V80" s="7">
        <f t="shared" si="57"/>
        <v>9.1815982408057772E-3</v>
      </c>
      <c r="W80" s="2"/>
      <c r="X80" s="6">
        <f t="shared" si="58"/>
        <v>-6000</v>
      </c>
      <c r="Y80" s="2"/>
      <c r="Z80" s="7">
        <f t="shared" si="59"/>
        <v>-1</v>
      </c>
    </row>
    <row r="81" spans="1:26" s="24" customFormat="1" hidden="1" outlineLevel="2" x14ac:dyDescent="0.3">
      <c r="A81" s="29"/>
      <c r="B81" s="11" t="str">
        <f>CONCATENATE("          ", "6285", " - ", "JANITORIAL SERVICES")</f>
        <v xml:space="preserve">          6285 - JANITORIAL SERVICES</v>
      </c>
      <c r="C81" s="11"/>
      <c r="D81" s="6"/>
      <c r="E81" s="2"/>
      <c r="F81" s="7">
        <f t="shared" si="52"/>
        <v>0</v>
      </c>
      <c r="G81" s="2"/>
      <c r="H81" s="6">
        <v>8224</v>
      </c>
      <c r="I81" s="2"/>
      <c r="J81" s="7">
        <f t="shared" si="53"/>
        <v>7.5179859403424407E-2</v>
      </c>
      <c r="K81" s="2"/>
      <c r="L81" s="6">
        <f t="shared" si="54"/>
        <v>-8224</v>
      </c>
      <c r="M81" s="2"/>
      <c r="N81" s="7">
        <f t="shared" si="55"/>
        <v>-1</v>
      </c>
      <c r="O81" s="11"/>
      <c r="P81" s="6">
        <v>40403.440000000002</v>
      </c>
      <c r="Q81" s="2"/>
      <c r="R81" s="7">
        <f t="shared" si="56"/>
        <v>6.0728216317493873E-2</v>
      </c>
      <c r="S81" s="2"/>
      <c r="T81" s="6">
        <v>45036</v>
      </c>
      <c r="U81" s="2"/>
      <c r="V81" s="7">
        <f t="shared" si="57"/>
        <v>6.8917076395488164E-2</v>
      </c>
      <c r="W81" s="2"/>
      <c r="X81" s="6">
        <f t="shared" si="58"/>
        <v>-4632.5599999999977</v>
      </c>
      <c r="Y81" s="2"/>
      <c r="Z81" s="7">
        <f t="shared" si="59"/>
        <v>-0.10286348698818717</v>
      </c>
    </row>
    <row r="82" spans="1:26" s="24" customFormat="1" hidden="1" outlineLevel="2" x14ac:dyDescent="0.3">
      <c r="A82" s="29"/>
      <c r="B82" s="11" t="str">
        <f>CONCATENATE("          ", "6286", " - ", "LAUNDRY EXPENSE")</f>
        <v xml:space="preserve">          6286 - LAUNDRY EXPENSE</v>
      </c>
      <c r="C82" s="11"/>
      <c r="D82" s="6">
        <v>896.66</v>
      </c>
      <c r="E82" s="2"/>
      <c r="F82" s="7">
        <f t="shared" si="52"/>
        <v>7.7043176606012044E-3</v>
      </c>
      <c r="G82" s="2"/>
      <c r="H82" s="6">
        <v>577</v>
      </c>
      <c r="I82" s="2"/>
      <c r="J82" s="7">
        <f t="shared" si="53"/>
        <v>5.2746569644669125E-3</v>
      </c>
      <c r="K82" s="2"/>
      <c r="L82" s="6">
        <f t="shared" si="54"/>
        <v>319.65999999999997</v>
      </c>
      <c r="M82" s="2"/>
      <c r="N82" s="7">
        <f t="shared" si="55"/>
        <v>0.55400346620450602</v>
      </c>
      <c r="O82" s="11"/>
      <c r="P82" s="6">
        <v>2813.3</v>
      </c>
      <c r="Q82" s="2"/>
      <c r="R82" s="7">
        <f t="shared" si="56"/>
        <v>4.2285184371926134E-3</v>
      </c>
      <c r="S82" s="2"/>
      <c r="T82" s="6">
        <v>3876</v>
      </c>
      <c r="U82" s="2"/>
      <c r="V82" s="7">
        <f t="shared" si="57"/>
        <v>5.9313124635605322E-3</v>
      </c>
      <c r="W82" s="2"/>
      <c r="X82" s="6">
        <f t="shared" si="58"/>
        <v>-1062.6999999999998</v>
      </c>
      <c r="Y82" s="2"/>
      <c r="Z82" s="7">
        <f t="shared" si="59"/>
        <v>-0.27417440660474712</v>
      </c>
    </row>
    <row r="83" spans="1:26" s="28" customFormat="1" outlineLevel="1" collapsed="1" x14ac:dyDescent="0.3">
      <c r="A83" s="27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SUM(OSRRefD22_15x_0)</f>
        <v>1456.11</v>
      </c>
      <c r="E83" s="1"/>
      <c r="F83" s="5">
        <f t="shared" ref="F83:F95" si="60">IF(D$12=0,0,D83/D$12)</f>
        <v>1.2511246167753684E-2</v>
      </c>
      <c r="G83" s="1"/>
      <c r="H83" s="1">
        <f>SUM(OSRRefH22_15x_0)</f>
        <v>610</v>
      </c>
      <c r="I83" s="1"/>
      <c r="J83" s="5">
        <f t="shared" ref="J83:J95" si="61">IF(H$12=0,0,H83/H$12)</f>
        <v>5.5763271201469955E-3</v>
      </c>
      <c r="K83" s="1"/>
      <c r="L83" s="1">
        <f t="shared" ref="L83:L95" si="62">+D83-H83</f>
        <v>846.1099999999999</v>
      </c>
      <c r="M83" s="1"/>
      <c r="N83" s="5">
        <f t="shared" ref="N83:N95" si="63">IF(H83=0,0,L83/H83)</f>
        <v>1.3870655737704916</v>
      </c>
      <c r="O83" s="14"/>
      <c r="P83" s="1">
        <f>SUM(OSRRefP22_15x_0)</f>
        <v>3972.61</v>
      </c>
      <c r="Q83" s="1"/>
      <c r="R83" s="5">
        <f t="shared" ref="R83:R95" si="64">IF(P$12=0,0,P83/P$12)</f>
        <v>5.971014335042742E-3</v>
      </c>
      <c r="S83" s="1"/>
      <c r="T83" s="1">
        <f>SUM(OSRRefT22_15x_0)</f>
        <v>3430</v>
      </c>
      <c r="U83" s="1"/>
      <c r="V83" s="5">
        <f t="shared" ref="V83:V95" si="65">IF(T$12=0,0,T83/T$12)</f>
        <v>5.2488136609939694E-3</v>
      </c>
      <c r="W83" s="1"/>
      <c r="X83" s="1">
        <f t="shared" ref="X83:X95" si="66">+P83-T83</f>
        <v>542.61000000000013</v>
      </c>
      <c r="Y83" s="1"/>
      <c r="Z83" s="5">
        <f t="shared" ref="Z83:Z95" si="67">IF(T83=0,0,X83/T83)</f>
        <v>0.15819533527696797</v>
      </c>
    </row>
    <row r="84" spans="1:26" s="24" customFormat="1" hidden="1" outlineLevel="2" x14ac:dyDescent="0.3">
      <c r="A84" s="29"/>
      <c r="B84" s="11" t="str">
        <f>CONCATENATE("          ", "6275", " - ", "SUBSCRIPTIONS")</f>
        <v xml:space="preserve">          6275 - SUBSCRIPTIONS</v>
      </c>
      <c r="C84" s="11"/>
      <c r="D84" s="6">
        <v>1456.11</v>
      </c>
      <c r="E84" s="2"/>
      <c r="F84" s="7">
        <f t="shared" si="60"/>
        <v>1.2511246167753684E-2</v>
      </c>
      <c r="G84" s="2"/>
      <c r="H84" s="6">
        <v>610</v>
      </c>
      <c r="I84" s="2"/>
      <c r="J84" s="7">
        <f t="shared" si="61"/>
        <v>5.5763271201469955E-3</v>
      </c>
      <c r="K84" s="2"/>
      <c r="L84" s="6">
        <f t="shared" si="62"/>
        <v>846.1099999999999</v>
      </c>
      <c r="M84" s="2"/>
      <c r="N84" s="7">
        <f t="shared" si="63"/>
        <v>1.3870655737704916</v>
      </c>
      <c r="O84" s="11"/>
      <c r="P84" s="6">
        <v>3972.61</v>
      </c>
      <c r="Q84" s="2"/>
      <c r="R84" s="7">
        <f t="shared" si="64"/>
        <v>5.971014335042742E-3</v>
      </c>
      <c r="S84" s="2"/>
      <c r="T84" s="6">
        <v>3430</v>
      </c>
      <c r="U84" s="2"/>
      <c r="V84" s="7">
        <f t="shared" si="65"/>
        <v>5.2488136609939694E-3</v>
      </c>
      <c r="W84" s="2"/>
      <c r="X84" s="6">
        <f t="shared" si="66"/>
        <v>542.61000000000013</v>
      </c>
      <c r="Y84" s="2"/>
      <c r="Z84" s="7">
        <f t="shared" si="67"/>
        <v>0.15819533527696797</v>
      </c>
    </row>
    <row r="85" spans="1:26" s="28" customFormat="1" outlineLevel="1" collapsed="1" x14ac:dyDescent="0.3">
      <c r="A85" s="27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SUM(OSRRefD22_16x_0)</f>
        <v>1819.5099999999998</v>
      </c>
      <c r="E85" s="1"/>
      <c r="F85" s="5">
        <f t="shared" si="60"/>
        <v>1.5633666079272517E-2</v>
      </c>
      <c r="G85" s="1"/>
      <c r="H85" s="1">
        <f>SUM(OSRRefH22_16x_0)</f>
        <v>2425</v>
      </c>
      <c r="I85" s="1"/>
      <c r="J85" s="5">
        <f t="shared" si="61"/>
        <v>2.2168185682551581E-2</v>
      </c>
      <c r="K85" s="1"/>
      <c r="L85" s="1">
        <f t="shared" si="62"/>
        <v>-605.49000000000024</v>
      </c>
      <c r="M85" s="1"/>
      <c r="N85" s="5">
        <f t="shared" si="63"/>
        <v>-0.24968659793814443</v>
      </c>
      <c r="O85" s="14"/>
      <c r="P85" s="1">
        <f>SUM(OSRRefP22_16x_0)</f>
        <v>21350.399999999998</v>
      </c>
      <c r="Q85" s="1"/>
      <c r="R85" s="5">
        <f t="shared" si="64"/>
        <v>3.2090626680921747E-2</v>
      </c>
      <c r="S85" s="1"/>
      <c r="T85" s="1">
        <f>SUM(OSRRefT22_16x_0)</f>
        <v>32798</v>
      </c>
      <c r="U85" s="1"/>
      <c r="V85" s="5">
        <f t="shared" si="65"/>
        <v>5.0189676516991313E-2</v>
      </c>
      <c r="W85" s="1"/>
      <c r="X85" s="1">
        <f t="shared" si="66"/>
        <v>-11447.600000000002</v>
      </c>
      <c r="Y85" s="1"/>
      <c r="Z85" s="5">
        <f t="shared" si="67"/>
        <v>-0.34903347765107634</v>
      </c>
    </row>
    <row r="86" spans="1:26" s="24" customFormat="1" hidden="1" outlineLevel="2" x14ac:dyDescent="0.3">
      <c r="A86" s="29"/>
      <c r="B86" s="11" t="str">
        <f>CONCATENATE("          ", "6234", " - ", "EXPENDABLE SUPPLIES &amp; EQUIPMEN")</f>
        <v xml:space="preserve">          6234 - EXPENDABLE SUPPLIES &amp; EQUIPMEN</v>
      </c>
      <c r="C86" s="11"/>
      <c r="D86" s="6"/>
      <c r="E86" s="2"/>
      <c r="F86" s="7">
        <f t="shared" si="60"/>
        <v>0</v>
      </c>
      <c r="G86" s="2"/>
      <c r="H86" s="6">
        <v>50</v>
      </c>
      <c r="I86" s="2"/>
      <c r="J86" s="7">
        <f t="shared" si="61"/>
        <v>4.5707599345467175E-4</v>
      </c>
      <c r="K86" s="2"/>
      <c r="L86" s="6">
        <f t="shared" si="62"/>
        <v>-50</v>
      </c>
      <c r="M86" s="2"/>
      <c r="N86" s="7">
        <f t="shared" si="63"/>
        <v>-1</v>
      </c>
      <c r="O86" s="11"/>
      <c r="P86" s="6">
        <v>1194.8900000000001</v>
      </c>
      <c r="Q86" s="2"/>
      <c r="R86" s="7">
        <f t="shared" si="64"/>
        <v>1.7959742634689091E-3</v>
      </c>
      <c r="S86" s="2"/>
      <c r="T86" s="6">
        <v>400</v>
      </c>
      <c r="U86" s="2"/>
      <c r="V86" s="7">
        <f t="shared" si="65"/>
        <v>6.1210654938705176E-4</v>
      </c>
      <c r="W86" s="2"/>
      <c r="X86" s="6">
        <f t="shared" si="66"/>
        <v>794.8900000000001</v>
      </c>
      <c r="Y86" s="2"/>
      <c r="Z86" s="7">
        <f t="shared" si="67"/>
        <v>1.9872250000000002</v>
      </c>
    </row>
    <row r="87" spans="1:26" s="24" customFormat="1" hidden="1" outlineLevel="2" x14ac:dyDescent="0.3">
      <c r="A87" s="29"/>
      <c r="B87" s="11" t="str">
        <f>CONCATENATE("          ", "6235", " - ", "COVID-19 EXPENSES")</f>
        <v xml:space="preserve">          6235 - COVID-19 EXPENSES</v>
      </c>
      <c r="C87" s="11"/>
      <c r="D87" s="6"/>
      <c r="E87" s="2"/>
      <c r="F87" s="7">
        <f t="shared" si="60"/>
        <v>0</v>
      </c>
      <c r="G87" s="2"/>
      <c r="H87" s="6">
        <v>250</v>
      </c>
      <c r="I87" s="2"/>
      <c r="J87" s="7">
        <f t="shared" si="61"/>
        <v>2.2853799672733588E-3</v>
      </c>
      <c r="K87" s="2"/>
      <c r="L87" s="6">
        <f t="shared" si="62"/>
        <v>-250</v>
      </c>
      <c r="M87" s="2"/>
      <c r="N87" s="7">
        <f t="shared" si="63"/>
        <v>-1</v>
      </c>
      <c r="O87" s="11"/>
      <c r="P87" s="6">
        <v>193.5</v>
      </c>
      <c r="Q87" s="2"/>
      <c r="R87" s="7">
        <f t="shared" si="64"/>
        <v>2.9083934084412277E-4</v>
      </c>
      <c r="S87" s="2"/>
      <c r="T87" s="6">
        <v>1750</v>
      </c>
      <c r="U87" s="2"/>
      <c r="V87" s="7">
        <f t="shared" si="65"/>
        <v>2.6779661535683516E-3</v>
      </c>
      <c r="W87" s="2"/>
      <c r="X87" s="6">
        <f t="shared" si="66"/>
        <v>-1556.5</v>
      </c>
      <c r="Y87" s="2"/>
      <c r="Z87" s="7">
        <f t="shared" si="67"/>
        <v>-0.88942857142857146</v>
      </c>
    </row>
    <row r="88" spans="1:26" s="24" customFormat="1" hidden="1" outlineLevel="2" x14ac:dyDescent="0.3">
      <c r="A88" s="29"/>
      <c r="B88" s="11" t="str">
        <f>CONCATENATE("          ", "6237", " - ", "JANITORIAL SUPPLIES")</f>
        <v xml:space="preserve">          6237 - JANITORIAL SUPPLIES</v>
      </c>
      <c r="C88" s="11"/>
      <c r="D88" s="6">
        <v>892.05</v>
      </c>
      <c r="E88" s="2"/>
      <c r="F88" s="7">
        <f t="shared" si="60"/>
        <v>7.6647074355266258E-3</v>
      </c>
      <c r="G88" s="2"/>
      <c r="H88" s="6">
        <v>225</v>
      </c>
      <c r="I88" s="2"/>
      <c r="J88" s="7">
        <f t="shared" si="61"/>
        <v>2.0568419705460231E-3</v>
      </c>
      <c r="K88" s="2"/>
      <c r="L88" s="6">
        <f t="shared" si="62"/>
        <v>667.05</v>
      </c>
      <c r="M88" s="2"/>
      <c r="N88" s="7">
        <f t="shared" si="63"/>
        <v>2.9646666666666666</v>
      </c>
      <c r="O88" s="11"/>
      <c r="P88" s="6">
        <v>6451.33</v>
      </c>
      <c r="Q88" s="2"/>
      <c r="R88" s="7">
        <f t="shared" si="64"/>
        <v>9.6966437455706187E-3</v>
      </c>
      <c r="S88" s="2"/>
      <c r="T88" s="6">
        <v>2928</v>
      </c>
      <c r="U88" s="2"/>
      <c r="V88" s="7">
        <f t="shared" si="65"/>
        <v>4.4806199415132189E-3</v>
      </c>
      <c r="W88" s="2"/>
      <c r="X88" s="6">
        <f t="shared" si="66"/>
        <v>3523.33</v>
      </c>
      <c r="Y88" s="2"/>
      <c r="Z88" s="7">
        <f t="shared" si="67"/>
        <v>1.203323087431694</v>
      </c>
    </row>
    <row r="89" spans="1:26" s="24" customFormat="1" hidden="1" outlineLevel="2" x14ac:dyDescent="0.3">
      <c r="A89" s="29"/>
      <c r="B89" s="11" t="str">
        <f>CONCATENATE("          ", "6239", " - ", "KITCHEN SUPPLIES")</f>
        <v xml:space="preserve">          6239 - KITCHEN SUPPLIES</v>
      </c>
      <c r="C89" s="11"/>
      <c r="D89" s="6">
        <v>571.91999999999996</v>
      </c>
      <c r="E89" s="2"/>
      <c r="F89" s="7">
        <f t="shared" si="60"/>
        <v>4.9140737363672299E-3</v>
      </c>
      <c r="G89" s="2"/>
      <c r="H89" s="6"/>
      <c r="I89" s="2"/>
      <c r="J89" s="7">
        <f t="shared" si="61"/>
        <v>0</v>
      </c>
      <c r="K89" s="2"/>
      <c r="L89" s="6">
        <f t="shared" si="62"/>
        <v>571.91999999999996</v>
      </c>
      <c r="M89" s="2"/>
      <c r="N89" s="7">
        <f t="shared" si="63"/>
        <v>0</v>
      </c>
      <c r="O89" s="11"/>
      <c r="P89" s="6">
        <v>2855.78</v>
      </c>
      <c r="Q89" s="2"/>
      <c r="R89" s="7">
        <f t="shared" si="64"/>
        <v>4.2923678180662997E-3</v>
      </c>
      <c r="S89" s="2"/>
      <c r="T89" s="6">
        <v>5249</v>
      </c>
      <c r="U89" s="2"/>
      <c r="V89" s="7">
        <f t="shared" si="65"/>
        <v>8.0323681943315871E-3</v>
      </c>
      <c r="W89" s="2"/>
      <c r="X89" s="6">
        <f t="shared" si="66"/>
        <v>-2393.2199999999998</v>
      </c>
      <c r="Y89" s="2"/>
      <c r="Z89" s="7">
        <f t="shared" si="67"/>
        <v>-0.45593827395694414</v>
      </c>
    </row>
    <row r="90" spans="1:26" s="24" customFormat="1" hidden="1" outlineLevel="2" x14ac:dyDescent="0.3">
      <c r="A90" s="29"/>
      <c r="B90" s="11" t="str">
        <f>CONCATENATE("          ", "6241", " - ", "OFFICE EXPENSE")</f>
        <v xml:space="preserve">          6241 - OFFICE EXPENSE</v>
      </c>
      <c r="C90" s="11"/>
      <c r="D90" s="6">
        <v>222.53</v>
      </c>
      <c r="E90" s="2"/>
      <c r="F90" s="7">
        <f t="shared" si="60"/>
        <v>1.9120311032203802E-3</v>
      </c>
      <c r="G90" s="2"/>
      <c r="H90" s="6"/>
      <c r="I90" s="2"/>
      <c r="J90" s="7">
        <f t="shared" si="61"/>
        <v>0</v>
      </c>
      <c r="K90" s="2"/>
      <c r="L90" s="6">
        <f t="shared" si="62"/>
        <v>222.53</v>
      </c>
      <c r="M90" s="2"/>
      <c r="N90" s="7">
        <f t="shared" si="63"/>
        <v>0</v>
      </c>
      <c r="O90" s="11"/>
      <c r="P90" s="6">
        <v>6826.59</v>
      </c>
      <c r="Q90" s="2"/>
      <c r="R90" s="7">
        <f t="shared" si="64"/>
        <v>1.0260676670868631E-2</v>
      </c>
      <c r="S90" s="2"/>
      <c r="T90" s="6">
        <v>2927</v>
      </c>
      <c r="U90" s="2"/>
      <c r="V90" s="7">
        <f t="shared" si="65"/>
        <v>4.4790896751397517E-3</v>
      </c>
      <c r="W90" s="2"/>
      <c r="X90" s="6">
        <f t="shared" si="66"/>
        <v>3899.59</v>
      </c>
      <c r="Y90" s="2"/>
      <c r="Z90" s="7">
        <f t="shared" si="67"/>
        <v>1.3322822002049881</v>
      </c>
    </row>
    <row r="91" spans="1:26" s="24" customFormat="1" hidden="1" outlineLevel="2" x14ac:dyDescent="0.3">
      <c r="A91" s="29"/>
      <c r="B91" s="11" t="str">
        <f>CONCATENATE("          ", "6243", " - ", "PAPER SUPPLIES")</f>
        <v xml:space="preserve">          6243 - PAPER SUPPLIES</v>
      </c>
      <c r="C91" s="11"/>
      <c r="D91" s="6">
        <v>66.67</v>
      </c>
      <c r="E91" s="2"/>
      <c r="F91" s="7">
        <f t="shared" si="60"/>
        <v>5.7284462163170247E-4</v>
      </c>
      <c r="G91" s="2"/>
      <c r="H91" s="6">
        <v>800</v>
      </c>
      <c r="I91" s="2"/>
      <c r="J91" s="7">
        <f t="shared" si="61"/>
        <v>7.3132158952747481E-3</v>
      </c>
      <c r="K91" s="2"/>
      <c r="L91" s="6">
        <f t="shared" si="62"/>
        <v>-733.33</v>
      </c>
      <c r="M91" s="2"/>
      <c r="N91" s="7">
        <f t="shared" si="63"/>
        <v>-0.91666250000000005</v>
      </c>
      <c r="O91" s="11"/>
      <c r="P91" s="6">
        <v>1252.26</v>
      </c>
      <c r="Q91" s="2"/>
      <c r="R91" s="7">
        <f t="shared" si="64"/>
        <v>1.8822039946535462E-3</v>
      </c>
      <c r="S91" s="2"/>
      <c r="T91" s="6">
        <v>5733</v>
      </c>
      <c r="U91" s="2"/>
      <c r="V91" s="7">
        <f t="shared" si="65"/>
        <v>8.7730171190899195E-3</v>
      </c>
      <c r="W91" s="2"/>
      <c r="X91" s="6">
        <f t="shared" si="66"/>
        <v>-4480.74</v>
      </c>
      <c r="Y91" s="2"/>
      <c r="Z91" s="7">
        <f t="shared" si="67"/>
        <v>-0.78156985871271578</v>
      </c>
    </row>
    <row r="92" spans="1:26" s="24" customFormat="1" hidden="1" outlineLevel="2" x14ac:dyDescent="0.3">
      <c r="A92" s="29"/>
      <c r="B92" s="11" t="str">
        <f>CONCATENATE("          ", "6244", " - ", "SAFETY SUPPLY EXPENSE")</f>
        <v xml:space="preserve">          6244 - SAFETY SUPPLY EXPENSE</v>
      </c>
      <c r="C92" s="11"/>
      <c r="D92" s="6"/>
      <c r="E92" s="2"/>
      <c r="F92" s="7">
        <f t="shared" si="60"/>
        <v>0</v>
      </c>
      <c r="G92" s="2"/>
      <c r="H92" s="6">
        <v>50</v>
      </c>
      <c r="I92" s="2"/>
      <c r="J92" s="7">
        <f t="shared" si="61"/>
        <v>4.5707599345467175E-4</v>
      </c>
      <c r="K92" s="2"/>
      <c r="L92" s="6">
        <f t="shared" si="62"/>
        <v>-50</v>
      </c>
      <c r="M92" s="2"/>
      <c r="N92" s="7">
        <f t="shared" si="63"/>
        <v>-1</v>
      </c>
      <c r="O92" s="11"/>
      <c r="P92" s="6"/>
      <c r="Q92" s="2"/>
      <c r="R92" s="7">
        <f t="shared" si="64"/>
        <v>0</v>
      </c>
      <c r="S92" s="2"/>
      <c r="T92" s="6">
        <v>100</v>
      </c>
      <c r="U92" s="2"/>
      <c r="V92" s="7">
        <f t="shared" si="65"/>
        <v>1.5302663734676294E-4</v>
      </c>
      <c r="W92" s="2"/>
      <c r="X92" s="6">
        <f t="shared" si="66"/>
        <v>-100</v>
      </c>
      <c r="Y92" s="2"/>
      <c r="Z92" s="7">
        <f t="shared" si="67"/>
        <v>-1</v>
      </c>
    </row>
    <row r="93" spans="1:26" s="24" customFormat="1" hidden="1" outlineLevel="2" x14ac:dyDescent="0.3">
      <c r="A93" s="29"/>
      <c r="B93" s="11" t="str">
        <f>CONCATENATE("          ", "6245", " - ", "PRINTING")</f>
        <v xml:space="preserve">          6245 - PRINTING</v>
      </c>
      <c r="C93" s="11"/>
      <c r="D93" s="6"/>
      <c r="E93" s="2"/>
      <c r="F93" s="7">
        <f t="shared" si="60"/>
        <v>0</v>
      </c>
      <c r="G93" s="2"/>
      <c r="H93" s="6">
        <v>100</v>
      </c>
      <c r="I93" s="2"/>
      <c r="J93" s="7">
        <f t="shared" si="61"/>
        <v>9.1415198690934351E-4</v>
      </c>
      <c r="K93" s="2"/>
      <c r="L93" s="6">
        <f t="shared" si="62"/>
        <v>-100</v>
      </c>
      <c r="M93" s="2"/>
      <c r="N93" s="7">
        <f t="shared" si="63"/>
        <v>-1</v>
      </c>
      <c r="O93" s="11"/>
      <c r="P93" s="6">
        <v>1071</v>
      </c>
      <c r="Q93" s="2"/>
      <c r="R93" s="7">
        <f t="shared" si="64"/>
        <v>1.6097619330442145E-3</v>
      </c>
      <c r="S93" s="2"/>
      <c r="T93" s="6">
        <v>1100</v>
      </c>
      <c r="U93" s="2"/>
      <c r="V93" s="7">
        <f t="shared" si="65"/>
        <v>1.6832930108143926E-3</v>
      </c>
      <c r="W93" s="2"/>
      <c r="X93" s="6">
        <f t="shared" si="66"/>
        <v>-29</v>
      </c>
      <c r="Y93" s="2"/>
      <c r="Z93" s="7">
        <f t="shared" si="67"/>
        <v>-2.6363636363636363E-2</v>
      </c>
    </row>
    <row r="94" spans="1:26" s="24" customFormat="1" hidden="1" outlineLevel="2" x14ac:dyDescent="0.3">
      <c r="A94" s="29"/>
      <c r="B94" s="11" t="str">
        <f>CONCATENATE("          ", "6247", " - ", "STORE SUPPLIES")</f>
        <v xml:space="preserve">          6247 - STORE SUPPLIES</v>
      </c>
      <c r="C94" s="11"/>
      <c r="D94" s="6">
        <v>66.34</v>
      </c>
      <c r="E94" s="2"/>
      <c r="F94" s="7">
        <f t="shared" si="60"/>
        <v>5.7000918252658077E-4</v>
      </c>
      <c r="G94" s="2"/>
      <c r="H94" s="6">
        <v>700</v>
      </c>
      <c r="I94" s="2"/>
      <c r="J94" s="7">
        <f t="shared" si="61"/>
        <v>6.3990639083654046E-3</v>
      </c>
      <c r="K94" s="2"/>
      <c r="L94" s="6">
        <f t="shared" si="62"/>
        <v>-633.66</v>
      </c>
      <c r="M94" s="2"/>
      <c r="N94" s="7">
        <f t="shared" si="63"/>
        <v>-0.90522857142857138</v>
      </c>
      <c r="O94" s="11"/>
      <c r="P94" s="6">
        <v>1252.0999999999999</v>
      </c>
      <c r="Q94" s="2"/>
      <c r="R94" s="7">
        <f t="shared" si="64"/>
        <v>1.8819635073432873E-3</v>
      </c>
      <c r="S94" s="2"/>
      <c r="T94" s="6">
        <v>9761</v>
      </c>
      <c r="U94" s="2"/>
      <c r="V94" s="7">
        <f t="shared" si="65"/>
        <v>1.4936930071417531E-2</v>
      </c>
      <c r="W94" s="2"/>
      <c r="X94" s="6">
        <f t="shared" si="66"/>
        <v>-8508.9</v>
      </c>
      <c r="Y94" s="2"/>
      <c r="Z94" s="7">
        <f t="shared" si="67"/>
        <v>-0.87172420858518596</v>
      </c>
    </row>
    <row r="95" spans="1:26" s="24" customFormat="1" hidden="1" outlineLevel="2" x14ac:dyDescent="0.3">
      <c r="A95" s="29"/>
      <c r="B95" s="11" t="str">
        <f>CONCATENATE("          ", "6248", " - ", "UNIFORMS")</f>
        <v xml:space="preserve">          6248 - UNIFORMS</v>
      </c>
      <c r="C95" s="11"/>
      <c r="D95" s="6"/>
      <c r="E95" s="2"/>
      <c r="F95" s="7">
        <f t="shared" si="60"/>
        <v>0</v>
      </c>
      <c r="G95" s="2"/>
      <c r="H95" s="6">
        <v>250</v>
      </c>
      <c r="I95" s="2"/>
      <c r="J95" s="7">
        <f t="shared" si="61"/>
        <v>2.2853799672733588E-3</v>
      </c>
      <c r="K95" s="2"/>
      <c r="L95" s="6">
        <f t="shared" si="62"/>
        <v>-250</v>
      </c>
      <c r="M95" s="2"/>
      <c r="N95" s="7">
        <f t="shared" si="63"/>
        <v>-1</v>
      </c>
      <c r="O95" s="11"/>
      <c r="P95" s="6">
        <v>252.95</v>
      </c>
      <c r="Q95" s="2"/>
      <c r="R95" s="7">
        <f t="shared" si="64"/>
        <v>3.8019540706212327E-4</v>
      </c>
      <c r="S95" s="2"/>
      <c r="T95" s="6">
        <v>2850</v>
      </c>
      <c r="U95" s="2"/>
      <c r="V95" s="7">
        <f t="shared" si="65"/>
        <v>4.3612591643827445E-3</v>
      </c>
      <c r="W95" s="2"/>
      <c r="X95" s="6">
        <f t="shared" si="66"/>
        <v>-2597.0500000000002</v>
      </c>
      <c r="Y95" s="2"/>
      <c r="Z95" s="7">
        <f t="shared" si="67"/>
        <v>-0.91124561403508775</v>
      </c>
    </row>
    <row r="96" spans="1:26" s="28" customFormat="1" outlineLevel="1" collapsed="1" x14ac:dyDescent="0.3">
      <c r="A96" s="27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SUM(OSRRefD22_17x_0)</f>
        <v>780.95</v>
      </c>
      <c r="E96" s="1"/>
      <c r="F96" s="5">
        <f t="shared" ref="F96:F98" si="68">IF(D$12=0,0,D96/D$12)</f>
        <v>6.7101096034689967E-3</v>
      </c>
      <c r="G96" s="1"/>
      <c r="H96" s="1">
        <f>SUM(OSRRefH22_17x_0)</f>
        <v>538</v>
      </c>
      <c r="I96" s="1"/>
      <c r="J96" s="5">
        <f t="shared" ref="J96:J98" si="69">IF(H$12=0,0,H96/H$12)</f>
        <v>4.9181376895722686E-3</v>
      </c>
      <c r="K96" s="1"/>
      <c r="L96" s="1">
        <f t="shared" ref="L96:L98" si="70">+D96-H96</f>
        <v>242.95000000000005</v>
      </c>
      <c r="M96" s="1"/>
      <c r="N96" s="5">
        <f t="shared" ref="N96:N98" si="71">IF(H96=0,0,L96/H96)</f>
        <v>0.45157992565055771</v>
      </c>
      <c r="O96" s="14"/>
      <c r="P96" s="1">
        <f>SUM(OSRRefP22_17x_0)</f>
        <v>4799.4399999999996</v>
      </c>
      <c r="Q96" s="1"/>
      <c r="R96" s="5">
        <f t="shared" ref="R96:R98" si="72">IF(P$12=0,0,P96/P$12)</f>
        <v>7.2137776021752795E-3</v>
      </c>
      <c r="S96" s="1"/>
      <c r="T96" s="1">
        <f>SUM(OSRRefT22_17x_0)</f>
        <v>3528</v>
      </c>
      <c r="U96" s="1"/>
      <c r="V96" s="5">
        <f t="shared" ref="V96:V98" si="73">IF(T$12=0,0,T96/T$12)</f>
        <v>5.3987797655937969E-3</v>
      </c>
      <c r="W96" s="1"/>
      <c r="X96" s="1">
        <f t="shared" ref="X96:X98" si="74">+P96-T96</f>
        <v>1271.4399999999996</v>
      </c>
      <c r="Y96" s="1"/>
      <c r="Z96" s="5">
        <f t="shared" ref="Z96:Z98" si="75">IF(T96=0,0,X96/T96)</f>
        <v>0.36038548752834454</v>
      </c>
    </row>
    <row r="97" spans="1:26" s="24" customFormat="1" hidden="1" outlineLevel="2" x14ac:dyDescent="0.3">
      <c r="A97" s="29"/>
      <c r="B97" s="11" t="str">
        <f>CONCATENATE("          ", "6303", " - ", "DATA PHONE LINES")</f>
        <v xml:space="preserve">          6303 - DATA PHONE LINES</v>
      </c>
      <c r="C97" s="11"/>
      <c r="D97" s="6"/>
      <c r="E97" s="2"/>
      <c r="F97" s="7">
        <f t="shared" si="68"/>
        <v>0</v>
      </c>
      <c r="G97" s="2"/>
      <c r="H97" s="6">
        <v>185</v>
      </c>
      <c r="I97" s="2"/>
      <c r="J97" s="7">
        <f t="shared" si="69"/>
        <v>1.6911811757822856E-3</v>
      </c>
      <c r="K97" s="2"/>
      <c r="L97" s="6">
        <f t="shared" si="70"/>
        <v>-185</v>
      </c>
      <c r="M97" s="2"/>
      <c r="N97" s="7">
        <f t="shared" si="71"/>
        <v>-1</v>
      </c>
      <c r="O97" s="11"/>
      <c r="P97" s="6"/>
      <c r="Q97" s="2"/>
      <c r="R97" s="7">
        <f t="shared" si="72"/>
        <v>0</v>
      </c>
      <c r="S97" s="2"/>
      <c r="T97" s="6">
        <v>1110</v>
      </c>
      <c r="U97" s="2"/>
      <c r="V97" s="7">
        <f t="shared" si="73"/>
        <v>1.6985956745490687E-3</v>
      </c>
      <c r="W97" s="2"/>
      <c r="X97" s="6">
        <f t="shared" si="74"/>
        <v>-1110</v>
      </c>
      <c r="Y97" s="2"/>
      <c r="Z97" s="7">
        <f t="shared" si="75"/>
        <v>-1</v>
      </c>
    </row>
    <row r="98" spans="1:26" s="24" customFormat="1" hidden="1" outlineLevel="2" x14ac:dyDescent="0.3">
      <c r="A98" s="29"/>
      <c r="B98" s="11" t="str">
        <f>CONCATENATE("          ", "6309", " - ", "TELEPHONE")</f>
        <v xml:space="preserve">          6309 - TELEPHONE</v>
      </c>
      <c r="C98" s="11"/>
      <c r="D98" s="6">
        <v>780.95</v>
      </c>
      <c r="E98" s="2"/>
      <c r="F98" s="7">
        <f t="shared" si="68"/>
        <v>6.7101096034689967E-3</v>
      </c>
      <c r="G98" s="2"/>
      <c r="H98" s="6">
        <v>353</v>
      </c>
      <c r="I98" s="2"/>
      <c r="J98" s="7">
        <f t="shared" si="69"/>
        <v>3.2269565137899828E-3</v>
      </c>
      <c r="K98" s="2"/>
      <c r="L98" s="6">
        <f t="shared" si="70"/>
        <v>427.95000000000005</v>
      </c>
      <c r="M98" s="2"/>
      <c r="N98" s="7">
        <f t="shared" si="71"/>
        <v>1.2123229461756375</v>
      </c>
      <c r="O98" s="11"/>
      <c r="P98" s="6">
        <v>4799.4399999999996</v>
      </c>
      <c r="Q98" s="2"/>
      <c r="R98" s="7">
        <f t="shared" si="72"/>
        <v>7.2137776021752795E-3</v>
      </c>
      <c r="S98" s="2"/>
      <c r="T98" s="6">
        <v>2418</v>
      </c>
      <c r="U98" s="2"/>
      <c r="V98" s="7">
        <f t="shared" si="73"/>
        <v>3.7001840910447282E-3</v>
      </c>
      <c r="W98" s="2"/>
      <c r="X98" s="6">
        <f t="shared" si="74"/>
        <v>2381.4399999999996</v>
      </c>
      <c r="Y98" s="2"/>
      <c r="Z98" s="7">
        <f t="shared" si="75"/>
        <v>0.98488006617038859</v>
      </c>
    </row>
    <row r="99" spans="1:26" s="28" customFormat="1" outlineLevel="1" collapsed="1" x14ac:dyDescent="0.3">
      <c r="A99" s="27"/>
      <c r="B99" s="14" t="str">
        <f>CONCATENATE("     ","Training                                          ")</f>
        <v xml:space="preserve">     Training                                          </v>
      </c>
      <c r="C99" s="14"/>
      <c r="D99" s="1">
        <f>SUM(OSRRefD22_18x_0)</f>
        <v>0</v>
      </c>
      <c r="E99" s="1"/>
      <c r="F99" s="5">
        <f t="shared" ref="F99:F104" si="76">IF(D$12=0,0,D99/D$12)</f>
        <v>0</v>
      </c>
      <c r="G99" s="1"/>
      <c r="H99" s="1">
        <f>SUM(OSRRefH22_18x_0)</f>
        <v>0</v>
      </c>
      <c r="I99" s="1"/>
      <c r="J99" s="5">
        <f t="shared" ref="J99:J104" si="77">IF(H$12=0,0,H99/H$12)</f>
        <v>0</v>
      </c>
      <c r="K99" s="1"/>
      <c r="L99" s="1">
        <f t="shared" ref="L99:L104" si="78">+D99-H99</f>
        <v>0</v>
      </c>
      <c r="M99" s="1"/>
      <c r="N99" s="5">
        <f t="shared" ref="N99:N104" si="79">IF(H99=0,0,L99/H99)</f>
        <v>0</v>
      </c>
      <c r="O99" s="14"/>
      <c r="P99" s="1">
        <f>SUM(OSRRefP22_18x_0)</f>
        <v>0</v>
      </c>
      <c r="Q99" s="1"/>
      <c r="R99" s="5">
        <f t="shared" ref="R99:R104" si="80">IF(P$12=0,0,P99/P$12)</f>
        <v>0</v>
      </c>
      <c r="S99" s="1"/>
      <c r="T99" s="1">
        <f>SUM(OSRRefT22_18x_0)</f>
        <v>875</v>
      </c>
      <c r="U99" s="1"/>
      <c r="V99" s="5">
        <f t="shared" ref="V99:V104" si="81">IF(T$12=0,0,T99/T$12)</f>
        <v>1.3389830767841758E-3</v>
      </c>
      <c r="W99" s="1"/>
      <c r="X99" s="1">
        <f t="shared" ref="X99:X104" si="82">+P99-T99</f>
        <v>-875</v>
      </c>
      <c r="Y99" s="1"/>
      <c r="Z99" s="5">
        <f t="shared" ref="Z99:Z104" si="83">IF(T99=0,0,X99/T99)</f>
        <v>-1</v>
      </c>
    </row>
    <row r="100" spans="1:26" s="24" customFormat="1" hidden="1" outlineLevel="2" x14ac:dyDescent="0.3">
      <c r="A100" s="29"/>
      <c r="B100" s="11" t="str">
        <f>CONCATENATE("          ", "6376", " - ", "TRAINING")</f>
        <v xml:space="preserve">          6376 - TRAINING</v>
      </c>
      <c r="C100" s="11"/>
      <c r="D100" s="6"/>
      <c r="E100" s="2"/>
      <c r="F100" s="7">
        <f t="shared" si="76"/>
        <v>0</v>
      </c>
      <c r="G100" s="2"/>
      <c r="H100" s="6"/>
      <c r="I100" s="2"/>
      <c r="J100" s="7">
        <f t="shared" si="77"/>
        <v>0</v>
      </c>
      <c r="K100" s="2"/>
      <c r="L100" s="6">
        <f t="shared" si="78"/>
        <v>0</v>
      </c>
      <c r="M100" s="2"/>
      <c r="N100" s="7">
        <f t="shared" si="79"/>
        <v>0</v>
      </c>
      <c r="O100" s="11"/>
      <c r="P100" s="6"/>
      <c r="Q100" s="2"/>
      <c r="R100" s="7">
        <f t="shared" si="80"/>
        <v>0</v>
      </c>
      <c r="S100" s="2"/>
      <c r="T100" s="6">
        <v>875</v>
      </c>
      <c r="U100" s="2"/>
      <c r="V100" s="7">
        <f t="shared" si="81"/>
        <v>1.3389830767841758E-3</v>
      </c>
      <c r="W100" s="2"/>
      <c r="X100" s="6">
        <f t="shared" si="82"/>
        <v>-875</v>
      </c>
      <c r="Y100" s="2"/>
      <c r="Z100" s="7">
        <f t="shared" si="83"/>
        <v>-1</v>
      </c>
    </row>
    <row r="101" spans="1:26" s="28" customFormat="1" outlineLevel="1" collapsed="1" x14ac:dyDescent="0.3">
      <c r="A101" s="27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SUM(OSRRefD22_19x_0)</f>
        <v>0</v>
      </c>
      <c r="E101" s="1"/>
      <c r="F101" s="5">
        <f t="shared" si="76"/>
        <v>0</v>
      </c>
      <c r="G101" s="1"/>
      <c r="H101" s="1">
        <f>SUM(OSRRefH22_19x_0)</f>
        <v>0</v>
      </c>
      <c r="I101" s="1"/>
      <c r="J101" s="5">
        <f t="shared" si="77"/>
        <v>0</v>
      </c>
      <c r="K101" s="1"/>
      <c r="L101" s="1">
        <f t="shared" si="78"/>
        <v>0</v>
      </c>
      <c r="M101" s="1"/>
      <c r="N101" s="5">
        <f t="shared" si="79"/>
        <v>0</v>
      </c>
      <c r="O101" s="14"/>
      <c r="P101" s="1">
        <f>SUM(OSRRefP22_19x_0)</f>
        <v>18.59</v>
      </c>
      <c r="Q101" s="1"/>
      <c r="R101" s="5">
        <f t="shared" si="80"/>
        <v>2.7941619360683423E-5</v>
      </c>
      <c r="S101" s="1"/>
      <c r="T101" s="1">
        <f>SUM(OSRRefT22_19x_0)</f>
        <v>0</v>
      </c>
      <c r="U101" s="1"/>
      <c r="V101" s="5">
        <f t="shared" si="81"/>
        <v>0</v>
      </c>
      <c r="W101" s="1"/>
      <c r="X101" s="1">
        <f t="shared" si="82"/>
        <v>18.59</v>
      </c>
      <c r="Y101" s="1"/>
      <c r="Z101" s="5">
        <f t="shared" si="83"/>
        <v>0</v>
      </c>
    </row>
    <row r="102" spans="1:26" s="24" customFormat="1" hidden="1" outlineLevel="2" x14ac:dyDescent="0.3">
      <c r="A102" s="29"/>
      <c r="B102" s="11" t="str">
        <f>CONCATENATE("          ", "6292", " - ", "TRAVEL/CONFERENCE")</f>
        <v xml:space="preserve">          6292 - TRAVEL/CONFERENCE</v>
      </c>
      <c r="C102" s="11"/>
      <c r="D102" s="6"/>
      <c r="E102" s="2"/>
      <c r="F102" s="7">
        <f t="shared" si="76"/>
        <v>0</v>
      </c>
      <c r="G102" s="2"/>
      <c r="H102" s="6"/>
      <c r="I102" s="2"/>
      <c r="J102" s="7">
        <f t="shared" si="77"/>
        <v>0</v>
      </c>
      <c r="K102" s="2"/>
      <c r="L102" s="6">
        <f t="shared" si="78"/>
        <v>0</v>
      </c>
      <c r="M102" s="2"/>
      <c r="N102" s="7">
        <f t="shared" si="79"/>
        <v>0</v>
      </c>
      <c r="O102" s="11"/>
      <c r="P102" s="6">
        <v>18.59</v>
      </c>
      <c r="Q102" s="2"/>
      <c r="R102" s="7">
        <f t="shared" si="80"/>
        <v>2.7941619360683423E-5</v>
      </c>
      <c r="S102" s="2"/>
      <c r="T102" s="6"/>
      <c r="U102" s="2"/>
      <c r="V102" s="7">
        <f t="shared" si="81"/>
        <v>0</v>
      </c>
      <c r="W102" s="2"/>
      <c r="X102" s="6">
        <f t="shared" si="82"/>
        <v>18.59</v>
      </c>
      <c r="Y102" s="2"/>
      <c r="Z102" s="7">
        <f t="shared" si="83"/>
        <v>0</v>
      </c>
    </row>
    <row r="103" spans="1:26" s="28" customFormat="1" outlineLevel="1" collapsed="1" x14ac:dyDescent="0.3">
      <c r="A103" s="27"/>
      <c r="B103" s="14" t="str">
        <f>CONCATENATE("     ","Utilities                                         ")</f>
        <v xml:space="preserve">     Utilities                                         </v>
      </c>
      <c r="C103" s="14"/>
      <c r="D103" s="1">
        <f>SUM(OSRRefD22_20x_0)</f>
        <v>8250</v>
      </c>
      <c r="E103" s="1"/>
      <c r="F103" s="5">
        <f t="shared" si="76"/>
        <v>7.0885977628041774E-2</v>
      </c>
      <c r="G103" s="1"/>
      <c r="H103" s="1">
        <f>SUM(OSRRefH22_20x_0)</f>
        <v>8667</v>
      </c>
      <c r="I103" s="1"/>
      <c r="J103" s="5">
        <f t="shared" si="77"/>
        <v>7.9229552705432804E-2</v>
      </c>
      <c r="K103" s="1"/>
      <c r="L103" s="1">
        <f t="shared" si="78"/>
        <v>-417</v>
      </c>
      <c r="M103" s="1"/>
      <c r="N103" s="5">
        <f t="shared" si="79"/>
        <v>-4.8113534094842508E-2</v>
      </c>
      <c r="O103" s="14"/>
      <c r="P103" s="1">
        <f>SUM(OSRRefP22_20x_0)</f>
        <v>47100</v>
      </c>
      <c r="Q103" s="1"/>
      <c r="R103" s="5">
        <f t="shared" si="80"/>
        <v>7.0793451957406633E-2</v>
      </c>
      <c r="S103" s="1"/>
      <c r="T103" s="1">
        <f>SUM(OSRRefT22_20x_0)</f>
        <v>52002</v>
      </c>
      <c r="U103" s="1"/>
      <c r="V103" s="5">
        <f t="shared" si="81"/>
        <v>7.957691195306367E-2</v>
      </c>
      <c r="W103" s="1"/>
      <c r="X103" s="1">
        <f t="shared" si="82"/>
        <v>-4902</v>
      </c>
      <c r="Y103" s="1"/>
      <c r="Z103" s="5">
        <f t="shared" si="83"/>
        <v>-9.4265605169031957E-2</v>
      </c>
    </row>
    <row r="104" spans="1:26" s="24" customFormat="1" hidden="1" outlineLevel="2" x14ac:dyDescent="0.3">
      <c r="A104" s="29"/>
      <c r="B104" s="11" t="str">
        <f>CONCATENATE("          ", "6274", " - ", "UTILITIES")</f>
        <v xml:space="preserve">          6274 - UTILITIES</v>
      </c>
      <c r="C104" s="11"/>
      <c r="D104" s="6">
        <v>8250</v>
      </c>
      <c r="E104" s="2"/>
      <c r="F104" s="7">
        <f t="shared" si="76"/>
        <v>7.0885977628041774E-2</v>
      </c>
      <c r="G104" s="2"/>
      <c r="H104" s="6">
        <v>8667</v>
      </c>
      <c r="I104" s="2"/>
      <c r="J104" s="7">
        <f t="shared" si="77"/>
        <v>7.9229552705432804E-2</v>
      </c>
      <c r="K104" s="2"/>
      <c r="L104" s="6">
        <f t="shared" si="78"/>
        <v>-417</v>
      </c>
      <c r="M104" s="2"/>
      <c r="N104" s="7">
        <f t="shared" si="79"/>
        <v>-4.8113534094842508E-2</v>
      </c>
      <c r="O104" s="11"/>
      <c r="P104" s="6">
        <v>47100</v>
      </c>
      <c r="Q104" s="2"/>
      <c r="R104" s="7">
        <f t="shared" si="80"/>
        <v>7.0793451957406633E-2</v>
      </c>
      <c r="S104" s="2"/>
      <c r="T104" s="6">
        <v>52002</v>
      </c>
      <c r="U104" s="2"/>
      <c r="V104" s="7">
        <f t="shared" si="81"/>
        <v>7.957691195306367E-2</v>
      </c>
      <c r="W104" s="2"/>
      <c r="X104" s="6">
        <f t="shared" si="82"/>
        <v>-4902</v>
      </c>
      <c r="Y104" s="2"/>
      <c r="Z104" s="7">
        <f t="shared" si="83"/>
        <v>-9.4265605169031957E-2</v>
      </c>
    </row>
    <row r="105" spans="1:26" s="55" customFormat="1" x14ac:dyDescent="0.3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3">
      <c r="A106" s="10"/>
      <c r="B106" s="25" t="s">
        <v>293</v>
      </c>
      <c r="C106" s="10"/>
      <c r="D106" s="4">
        <f>SUM(OSRRefD25x_0)</f>
        <v>104600.16</v>
      </c>
      <c r="E106" s="4"/>
      <c r="F106" s="12">
        <f t="shared" ref="F106:F109" si="84">IF(D$12=0,0,D106/D$12)</f>
        <v>0.89874964868479879</v>
      </c>
      <c r="G106" s="4"/>
      <c r="H106" s="4">
        <f>SUM(OSRRefH25x_0)</f>
        <v>250</v>
      </c>
      <c r="I106" s="4"/>
      <c r="J106" s="12">
        <f t="shared" ref="J106:J109" si="85">IF(H$12=0,0,H106/H$12)</f>
        <v>2.2853799672733588E-3</v>
      </c>
      <c r="K106" s="4"/>
      <c r="L106" s="4">
        <f t="shared" ref="L106:L109" si="86">+D106-H106</f>
        <v>104350.16</v>
      </c>
      <c r="M106" s="4"/>
      <c r="N106" s="12">
        <f t="shared" ref="N106:N109" si="87">IF(H106=0,0,L106/H106)</f>
        <v>417.40064000000001</v>
      </c>
      <c r="O106" s="10"/>
      <c r="P106" s="4">
        <f>SUM(OSRRefP25x_0)</f>
        <v>134618.51</v>
      </c>
      <c r="Q106" s="4"/>
      <c r="R106" s="12">
        <f t="shared" ref="R106:R109" si="88">IF(P$12=0,0,P106/P$12)</f>
        <v>0.20233777113084214</v>
      </c>
      <c r="S106" s="4"/>
      <c r="T106" s="4">
        <f>SUM(OSRRefT25x_0)</f>
        <v>1000</v>
      </c>
      <c r="U106" s="4"/>
      <c r="V106" s="12">
        <f t="shared" ref="V106:V109" si="89">IF(T$12=0,0,T106/T$12)</f>
        <v>1.5302663734676296E-3</v>
      </c>
      <c r="W106" s="4"/>
      <c r="X106" s="4">
        <f t="shared" ref="X106:X109" si="90">+P106-T106</f>
        <v>133618.51</v>
      </c>
      <c r="Y106" s="4"/>
      <c r="Z106" s="12">
        <f t="shared" ref="Z106:Z109" si="91">IF(T106=0,0,X106/T106)</f>
        <v>133.61851000000001</v>
      </c>
    </row>
    <row r="107" spans="1:26" s="24" customFormat="1" hidden="1" outlineLevel="1" x14ac:dyDescent="0.3">
      <c r="A107" s="44"/>
      <c r="B107" s="11" t="str">
        <f>CONCATENATE("          ", "9150", " - ", "MISC. INCOME")</f>
        <v xml:space="preserve">          9150 - MISC. INCOME</v>
      </c>
      <c r="C107" s="11"/>
      <c r="D107" s="2">
        <f>--104600.16</f>
        <v>104600.16</v>
      </c>
      <c r="E107" s="2"/>
      <c r="F107" s="19">
        <f t="shared" si="84"/>
        <v>0.89874964868479879</v>
      </c>
      <c r="G107" s="2"/>
      <c r="H107" s="2">
        <v>250</v>
      </c>
      <c r="I107" s="2"/>
      <c r="J107" s="19">
        <f t="shared" si="85"/>
        <v>2.2853799672733588E-3</v>
      </c>
      <c r="K107" s="2"/>
      <c r="L107" s="2">
        <f t="shared" si="86"/>
        <v>104350.16</v>
      </c>
      <c r="M107" s="2"/>
      <c r="N107" s="19">
        <f t="shared" si="87"/>
        <v>417.40064000000001</v>
      </c>
      <c r="O107" s="11"/>
      <c r="P107" s="2">
        <f>--134618.51</f>
        <v>134618.51</v>
      </c>
      <c r="Q107" s="2"/>
      <c r="R107" s="19">
        <f t="shared" si="88"/>
        <v>0.20233777113084214</v>
      </c>
      <c r="S107" s="2"/>
      <c r="T107" s="2">
        <v>1000</v>
      </c>
      <c r="U107" s="2"/>
      <c r="V107" s="19">
        <f t="shared" si="89"/>
        <v>1.5302663734676296E-3</v>
      </c>
      <c r="W107" s="2"/>
      <c r="X107" s="2">
        <f t="shared" si="90"/>
        <v>133618.51</v>
      </c>
      <c r="Y107" s="2"/>
      <c r="Z107" s="19">
        <f t="shared" si="91"/>
        <v>133.61851000000001</v>
      </c>
    </row>
    <row r="108" spans="1:26" s="24" customFormat="1" hidden="1" outlineLevel="1" x14ac:dyDescent="0.3">
      <c r="A108" s="44"/>
      <c r="B108" s="11" t="str">
        <f>CONCATENATE("          ", "9160", " - ", "MISC. INCOME")</f>
        <v xml:space="preserve">          9160 - MISC. INCOME</v>
      </c>
      <c r="C108" s="11"/>
      <c r="D108" s="2">
        <f t="shared" ref="D108:D109" si="92">0</f>
        <v>0</v>
      </c>
      <c r="E108" s="2"/>
      <c r="F108" s="19">
        <f t="shared" si="84"/>
        <v>0</v>
      </c>
      <c r="G108" s="2"/>
      <c r="H108" s="2"/>
      <c r="I108" s="2"/>
      <c r="J108" s="19">
        <f t="shared" si="85"/>
        <v>0</v>
      </c>
      <c r="K108" s="2"/>
      <c r="L108" s="2">
        <f t="shared" si="86"/>
        <v>0</v>
      </c>
      <c r="M108" s="2"/>
      <c r="N108" s="19">
        <f t="shared" si="87"/>
        <v>0</v>
      </c>
      <c r="O108" s="11"/>
      <c r="P108" s="2">
        <f t="shared" ref="P108:P109" si="93">0</f>
        <v>0</v>
      </c>
      <c r="Q108" s="2"/>
      <c r="R108" s="19">
        <f t="shared" si="88"/>
        <v>0</v>
      </c>
      <c r="S108" s="2"/>
      <c r="T108" s="2"/>
      <c r="U108" s="2"/>
      <c r="V108" s="19">
        <f t="shared" si="89"/>
        <v>0</v>
      </c>
      <c r="W108" s="2"/>
      <c r="X108" s="2">
        <f t="shared" si="90"/>
        <v>0</v>
      </c>
      <c r="Y108" s="2"/>
      <c r="Z108" s="19">
        <f t="shared" si="91"/>
        <v>0</v>
      </c>
    </row>
    <row r="109" spans="1:26" s="24" customFormat="1" hidden="1" outlineLevel="1" x14ac:dyDescent="0.3">
      <c r="A109" s="44"/>
      <c r="B109" s="11" t="str">
        <f>CONCATENATE("          ", "9165", " - ", "OTHER INCOME")</f>
        <v xml:space="preserve">          9165 - OTHER INCOME</v>
      </c>
      <c r="C109" s="11"/>
      <c r="D109" s="2">
        <f t="shared" si="92"/>
        <v>0</v>
      </c>
      <c r="E109" s="2"/>
      <c r="F109" s="19">
        <f t="shared" si="84"/>
        <v>0</v>
      </c>
      <c r="G109" s="2"/>
      <c r="H109" s="2"/>
      <c r="I109" s="2"/>
      <c r="J109" s="19">
        <f t="shared" si="85"/>
        <v>0</v>
      </c>
      <c r="K109" s="2"/>
      <c r="L109" s="2">
        <f t="shared" si="86"/>
        <v>0</v>
      </c>
      <c r="M109" s="2"/>
      <c r="N109" s="19">
        <f t="shared" si="87"/>
        <v>0</v>
      </c>
      <c r="O109" s="11"/>
      <c r="P109" s="2">
        <f t="shared" si="93"/>
        <v>0</v>
      </c>
      <c r="Q109" s="2"/>
      <c r="R109" s="19">
        <f t="shared" si="88"/>
        <v>0</v>
      </c>
      <c r="S109" s="2"/>
      <c r="T109" s="2"/>
      <c r="U109" s="2"/>
      <c r="V109" s="19">
        <f t="shared" si="89"/>
        <v>0</v>
      </c>
      <c r="W109" s="2"/>
      <c r="X109" s="2">
        <f t="shared" si="90"/>
        <v>0</v>
      </c>
      <c r="Y109" s="2"/>
      <c r="Z109" s="19">
        <f t="shared" si="91"/>
        <v>0</v>
      </c>
    </row>
    <row r="110" spans="1:26" x14ac:dyDescent="0.3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3">
      <c r="A111" s="10"/>
      <c r="B111" s="26" t="s">
        <v>277</v>
      </c>
      <c r="C111" s="26"/>
      <c r="D111" s="20">
        <f>+D25-D27+D106</f>
        <v>-30225.709999999992</v>
      </c>
      <c r="E111" s="13"/>
      <c r="F111" s="22">
        <f>IF(D$12=0,0,D111/D$12)</f>
        <v>-0.25970654580020336</v>
      </c>
      <c r="G111" s="13"/>
      <c r="H111" s="20">
        <f>+H25-H27+H106</f>
        <v>-122957.58750321431</v>
      </c>
      <c r="I111" s="13"/>
      <c r="J111" s="22">
        <f>IF(H$12=0,0,H111/H$12)</f>
        <v>-1.1240192292164284</v>
      </c>
      <c r="K111" s="16"/>
      <c r="L111" s="20">
        <f>+D111-H111</f>
        <v>92731.877503214317</v>
      </c>
      <c r="M111" s="16"/>
      <c r="N111" s="22">
        <f>IF(H111=0,0,L111/H111)</f>
        <v>-0.75417775662514652</v>
      </c>
      <c r="O111" s="25"/>
      <c r="P111" s="20">
        <f>+P25-P27+P106</f>
        <v>-672138.69</v>
      </c>
      <c r="Q111" s="13"/>
      <c r="R111" s="22">
        <f>IF(P$12=0,0,P111/P$12)</f>
        <v>-1.0102551604931895</v>
      </c>
      <c r="S111" s="13"/>
      <c r="T111" s="20">
        <f>+T25-T27+T106</f>
        <v>-823574.67107158946</v>
      </c>
      <c r="U111" s="13"/>
      <c r="V111" s="22">
        <f>IF(T$12=0,0,T111/T$12)</f>
        <v>-1.260288625180517</v>
      </c>
      <c r="W111" s="16"/>
      <c r="X111" s="20">
        <f>+P111-T111</f>
        <v>151435.98107158951</v>
      </c>
      <c r="Y111" s="16"/>
      <c r="Z111" s="22">
        <f>IF(T111=0,0,X111/T111)</f>
        <v>-0.18387644301220368</v>
      </c>
    </row>
    <row r="112" spans="1:26" x14ac:dyDescent="0.3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3">
      <c r="A113" s="52"/>
      <c r="B113" s="10" t="s">
        <v>128</v>
      </c>
      <c r="C113" s="10"/>
      <c r="D113" s="4">
        <v>14700.4</v>
      </c>
      <c r="E113" s="4"/>
      <c r="F113" s="12">
        <f>IF(D$12=0,0,D113/D$12)</f>
        <v>0.1263093606694867</v>
      </c>
      <c r="G113" s="4"/>
      <c r="H113" s="4">
        <v>16590</v>
      </c>
      <c r="I113" s="4"/>
      <c r="J113" s="12">
        <f>IF(H$12=0,0,H113/H$12)</f>
        <v>0.15165781462826008</v>
      </c>
      <c r="K113" s="4"/>
      <c r="L113" s="4">
        <f>+D113-H113</f>
        <v>-1889.6000000000004</v>
      </c>
      <c r="M113" s="4"/>
      <c r="N113" s="12">
        <f>IF(H113=0,0,L113/H113)</f>
        <v>-0.11389993972272455</v>
      </c>
      <c r="O113" s="10"/>
      <c r="P113" s="4">
        <v>80084.61</v>
      </c>
      <c r="Q113" s="4"/>
      <c r="R113" s="12">
        <f>IF(P$12=0,0,P113/P$12)</f>
        <v>0.12037082782510927</v>
      </c>
      <c r="S113" s="4"/>
      <c r="T113" s="4">
        <v>84606</v>
      </c>
      <c r="U113" s="4"/>
      <c r="V113" s="12">
        <f>IF(T$12=0,0,T113/T$12)</f>
        <v>0.12946971679360225</v>
      </c>
      <c r="W113" s="4"/>
      <c r="X113" s="4">
        <f>+P113-T113</f>
        <v>-4521.3899999999994</v>
      </c>
      <c r="Y113" s="4"/>
      <c r="Z113" s="12">
        <f>IF(T113=0,0,X113/T113)</f>
        <v>-5.3440536132189201E-2</v>
      </c>
    </row>
    <row r="114" spans="1:26" x14ac:dyDescent="0.3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" thickBot="1" x14ac:dyDescent="0.35">
      <c r="A115" s="10"/>
      <c r="B115" s="26" t="s">
        <v>126</v>
      </c>
      <c r="C115" s="26"/>
      <c r="D115" s="31">
        <f>+D111-D113</f>
        <v>-44926.109999999993</v>
      </c>
      <c r="E115" s="13"/>
      <c r="F115" s="30">
        <f>IF(D$12=0,0,D115/D$12)</f>
        <v>-0.38601590646969008</v>
      </c>
      <c r="G115" s="13"/>
      <c r="H115" s="31">
        <f>+H111-H113</f>
        <v>-139547.58750321431</v>
      </c>
      <c r="I115" s="13"/>
      <c r="J115" s="30">
        <f>IF(H$12=0,0,H115/H$12)</f>
        <v>-1.2756770438446885</v>
      </c>
      <c r="K115" s="16"/>
      <c r="L115" s="31">
        <f>D115-H115</f>
        <v>94621.477503214322</v>
      </c>
      <c r="M115" s="16"/>
      <c r="N115" s="30">
        <f>IF(H115=0,0,L115/H115)</f>
        <v>-0.67805885573646929</v>
      </c>
      <c r="O115" s="25"/>
      <c r="P115" s="31">
        <f>+P111-P113</f>
        <v>-752223.29999999993</v>
      </c>
      <c r="Q115" s="13"/>
      <c r="R115" s="30">
        <f>IF(P$12=0,0,P115/P$12)</f>
        <v>-1.1306259883182987</v>
      </c>
      <c r="S115" s="13"/>
      <c r="T115" s="31">
        <f>+T111-T113</f>
        <v>-908180.67107158946</v>
      </c>
      <c r="U115" s="13"/>
      <c r="V115" s="30">
        <f>IF(T$12=0,0,T115/T$12)</f>
        <v>-1.3897583419741193</v>
      </c>
      <c r="W115" s="16"/>
      <c r="X115" s="31">
        <f>P115-T115</f>
        <v>155957.37107158953</v>
      </c>
      <c r="Y115" s="16"/>
      <c r="Z115" s="30">
        <f>IF(T115=0,0,X115/T115)</f>
        <v>-0.17172504991498089</v>
      </c>
    </row>
    <row r="116" spans="1:26" ht="15" thickTop="1" x14ac:dyDescent="0.3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3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" thickBot="1" x14ac:dyDescent="0.35">
      <c r="A118" s="10"/>
      <c r="B118" s="26" t="s">
        <v>294</v>
      </c>
      <c r="C118" s="26"/>
      <c r="D118" s="35">
        <f>SUM(D115:D117)</f>
        <v>-44926.109999999993</v>
      </c>
      <c r="E118" s="13"/>
      <c r="F118" s="34">
        <f>IF(D$12=0,0,D118/D$12)</f>
        <v>-0.38601590646969008</v>
      </c>
      <c r="G118" s="13"/>
      <c r="H118" s="35">
        <f>SUM(H115:H117)</f>
        <v>-139547.58750321431</v>
      </c>
      <c r="I118" s="13"/>
      <c r="J118" s="34">
        <f>IF(H$12=0,0,H118/H$12)</f>
        <v>-1.2756770438446885</v>
      </c>
      <c r="K118" s="16"/>
      <c r="L118" s="35">
        <f>+D118-H118</f>
        <v>94621.477503214322</v>
      </c>
      <c r="M118" s="16"/>
      <c r="N118" s="34">
        <f>IF(H118=0,0,L118/H118)</f>
        <v>-0.67805885573646929</v>
      </c>
      <c r="O118" s="25"/>
      <c r="P118" s="35">
        <f>SUM(P115:P117)</f>
        <v>-752223.29999999993</v>
      </c>
      <c r="Q118" s="13"/>
      <c r="R118" s="34">
        <f>IF(P$12=0,0,P118/P$12)</f>
        <v>-1.1306259883182987</v>
      </c>
      <c r="S118" s="13"/>
      <c r="T118" s="35">
        <f>SUM(T115:T117)</f>
        <v>-908180.67107158946</v>
      </c>
      <c r="U118" s="13"/>
      <c r="V118" s="34">
        <f>IF(T$12=0,0,T118/T$12)</f>
        <v>-1.3897583419741193</v>
      </c>
      <c r="W118" s="16"/>
      <c r="X118" s="35">
        <f>+P118-T118</f>
        <v>155957.37107158953</v>
      </c>
      <c r="Y118" s="16"/>
      <c r="Z118" s="34">
        <f>IF(T118=0,0,X118/T118)</f>
        <v>-0.17172504991498089</v>
      </c>
    </row>
    <row r="119" spans="1:26" ht="15" thickTop="1" x14ac:dyDescent="0.3">
      <c r="A119" s="9"/>
      <c r="C119" s="9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3">
      <c r="A120" s="9"/>
      <c r="B120" s="61">
        <v>44575.842096145832</v>
      </c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3">
      <c r="A121" s="9"/>
      <c r="B121" s="62" t="s">
        <v>56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3">
      <c r="A122" s="9"/>
      <c r="B122" s="53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3"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106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103905.87000000001</v>
      </c>
      <c r="E12" s="4"/>
      <c r="F12" s="12"/>
      <c r="G12" s="4"/>
      <c r="H12" s="4">
        <f>SUM(OSRRefH13x_0)</f>
        <v>86463</v>
      </c>
      <c r="I12" s="4"/>
      <c r="J12" s="12"/>
      <c r="K12" s="4"/>
      <c r="L12" s="4">
        <f t="shared" ref="L12:L17" si="0">+D12-H12</f>
        <v>17442.87000000001</v>
      </c>
      <c r="M12" s="4"/>
      <c r="N12" s="12">
        <f t="shared" ref="N12:N17" si="1">IF(H12=0,0,L12/H12)</f>
        <v>0.20173796884216383</v>
      </c>
      <c r="O12" s="10"/>
      <c r="P12" s="4">
        <f>SUM(OSRRefP13x_0)</f>
        <v>588908.27</v>
      </c>
      <c r="Q12" s="4"/>
      <c r="R12" s="12"/>
      <c r="S12" s="4"/>
      <c r="T12" s="4">
        <f>SUM(OSRRefT13x_0)</f>
        <v>499908</v>
      </c>
      <c r="U12" s="4"/>
      <c r="V12" s="12"/>
      <c r="W12" s="4"/>
      <c r="X12" s="4">
        <f t="shared" ref="X12:X17" si="2">+P12-T12</f>
        <v>89000.270000000019</v>
      </c>
      <c r="Y12" s="4"/>
      <c r="Z12" s="12">
        <f t="shared" ref="Z12:Z17" si="3">IF(T12=0,0,X12/T12)</f>
        <v>0.17803329812685537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25526</v>
      </c>
      <c r="I13" s="2"/>
      <c r="J13" s="19"/>
      <c r="K13" s="2"/>
      <c r="L13" s="2">
        <f t="shared" si="0"/>
        <v>-25526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151709</v>
      </c>
      <c r="U13" s="2"/>
      <c r="V13" s="19"/>
      <c r="W13" s="2"/>
      <c r="X13" s="2">
        <f t="shared" si="2"/>
        <v>-151709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--19631.62</f>
        <v>19631.62</v>
      </c>
      <c r="E14" s="2"/>
      <c r="F14" s="19"/>
      <c r="G14" s="2"/>
      <c r="H14" s="2"/>
      <c r="I14" s="2"/>
      <c r="J14" s="19"/>
      <c r="K14" s="2"/>
      <c r="L14" s="2">
        <f t="shared" si="0"/>
        <v>19631.62</v>
      </c>
      <c r="M14" s="2"/>
      <c r="N14" s="19">
        <f t="shared" si="1"/>
        <v>0</v>
      </c>
      <c r="O14" s="11"/>
      <c r="P14" s="2">
        <f>--146982.79</f>
        <v>146982.79</v>
      </c>
      <c r="Q14" s="2"/>
      <c r="R14" s="19"/>
      <c r="S14" s="2"/>
      <c r="T14" s="2"/>
      <c r="U14" s="2"/>
      <c r="V14" s="19"/>
      <c r="W14" s="2"/>
      <c r="X14" s="2">
        <f t="shared" si="2"/>
        <v>146982.79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--1649.9</f>
        <v>1649.9</v>
      </c>
      <c r="E15" s="2"/>
      <c r="F15" s="19"/>
      <c r="G15" s="2"/>
      <c r="H15" s="2"/>
      <c r="I15" s="2"/>
      <c r="J15" s="19"/>
      <c r="K15" s="2"/>
      <c r="L15" s="2">
        <f t="shared" si="0"/>
        <v>1649.9</v>
      </c>
      <c r="M15" s="2"/>
      <c r="N15" s="19">
        <f t="shared" si="1"/>
        <v>0</v>
      </c>
      <c r="O15" s="11"/>
      <c r="P15" s="2">
        <f>--7379.58</f>
        <v>7379.58</v>
      </c>
      <c r="Q15" s="2"/>
      <c r="R15" s="19"/>
      <c r="S15" s="2"/>
      <c r="T15" s="2"/>
      <c r="U15" s="2"/>
      <c r="V15" s="19"/>
      <c r="W15" s="2"/>
      <c r="X15" s="2">
        <f t="shared" si="2"/>
        <v>7379.58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60937</v>
      </c>
      <c r="I16" s="2"/>
      <c r="J16" s="19"/>
      <c r="K16" s="2"/>
      <c r="L16" s="2">
        <f t="shared" si="0"/>
        <v>-60937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348199</v>
      </c>
      <c r="U16" s="2"/>
      <c r="V16" s="19"/>
      <c r="W16" s="2"/>
      <c r="X16" s="2">
        <f t="shared" si="2"/>
        <v>-348199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--82624.35</f>
        <v>82624.350000000006</v>
      </c>
      <c r="E17" s="2"/>
      <c r="F17" s="19"/>
      <c r="G17" s="2"/>
      <c r="H17" s="2"/>
      <c r="I17" s="2"/>
      <c r="J17" s="19"/>
      <c r="K17" s="2"/>
      <c r="L17" s="2">
        <f t="shared" si="0"/>
        <v>82624.350000000006</v>
      </c>
      <c r="M17" s="2"/>
      <c r="N17" s="19">
        <f t="shared" si="1"/>
        <v>0</v>
      </c>
      <c r="O17" s="11"/>
      <c r="P17" s="2">
        <f>--434545.9</f>
        <v>434545.9</v>
      </c>
      <c r="Q17" s="2"/>
      <c r="R17" s="19"/>
      <c r="S17" s="2"/>
      <c r="T17" s="2"/>
      <c r="U17" s="2"/>
      <c r="V17" s="19"/>
      <c r="W17" s="2"/>
      <c r="X17" s="2">
        <f t="shared" si="2"/>
        <v>434545.9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42694.93</v>
      </c>
      <c r="E19" s="4"/>
      <c r="F19" s="12">
        <f t="shared" ref="F19:F22" si="4">IF(D$12=0,0,D19/D$12)</f>
        <v>0.41090007715637233</v>
      </c>
      <c r="G19" s="4"/>
      <c r="H19" s="4">
        <f>SUM(OSRRefH16x_0)</f>
        <v>29819</v>
      </c>
      <c r="I19" s="4"/>
      <c r="J19" s="12">
        <f t="shared" ref="J19:J22" si="5">IF(H$12=0,0,H19/H$12)</f>
        <v>0.34487584284607287</v>
      </c>
      <c r="K19" s="4"/>
      <c r="L19" s="4">
        <f t="shared" ref="L19:L22" si="6">+D19-H19</f>
        <v>12875.93</v>
      </c>
      <c r="M19" s="4"/>
      <c r="N19" s="12">
        <f t="shared" ref="N19:N22" si="7">IF(H19=0,0,L19/H19)</f>
        <v>0.43180287736007245</v>
      </c>
      <c r="O19" s="10"/>
      <c r="P19" s="4">
        <f>SUM(OSRRefP16x_0)</f>
        <v>233639.09</v>
      </c>
      <c r="Q19" s="4"/>
      <c r="R19" s="12">
        <f t="shared" ref="R19:R22" si="8">IF(P$12=0,0,P19/P$12)</f>
        <v>0.39673256753551789</v>
      </c>
      <c r="S19" s="4"/>
      <c r="T19" s="4">
        <f>SUM(OSRRefT16x_0)</f>
        <v>172664</v>
      </c>
      <c r="U19" s="4"/>
      <c r="V19" s="12">
        <f t="shared" ref="V19:V22" si="9">IF(T$12=0,0,T19/T$12)</f>
        <v>0.34539155204557637</v>
      </c>
      <c r="W19" s="4"/>
      <c r="X19" s="4">
        <f t="shared" ref="X19:X22" si="10">+P19-T19</f>
        <v>60975.09</v>
      </c>
      <c r="Y19" s="4"/>
      <c r="Z19" s="12">
        <f t="shared" ref="Z19:Z22" si="11">IF(T19=0,0,X19/T19)</f>
        <v>0.3531430408191632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29819</v>
      </c>
      <c r="I20" s="2"/>
      <c r="J20" s="19">
        <f t="shared" si="5"/>
        <v>0.34487584284607287</v>
      </c>
      <c r="K20" s="2"/>
      <c r="L20" s="2">
        <f t="shared" si="6"/>
        <v>-29819</v>
      </c>
      <c r="M20" s="2"/>
      <c r="N20" s="19">
        <f t="shared" si="7"/>
        <v>-1</v>
      </c>
      <c r="O20" s="11"/>
      <c r="P20" s="2"/>
      <c r="Q20" s="2"/>
      <c r="R20" s="19">
        <f t="shared" si="8"/>
        <v>0</v>
      </c>
      <c r="S20" s="2"/>
      <c r="T20" s="2">
        <v>172664</v>
      </c>
      <c r="U20" s="2"/>
      <c r="V20" s="19">
        <f t="shared" si="9"/>
        <v>0.34539155204557637</v>
      </c>
      <c r="W20" s="2"/>
      <c r="X20" s="2">
        <f t="shared" si="10"/>
        <v>-172664</v>
      </c>
      <c r="Y20" s="2"/>
      <c r="Z20" s="19">
        <f t="shared" si="11"/>
        <v>-1</v>
      </c>
    </row>
    <row r="21" spans="1:26" s="24" customFormat="1" hidden="1" outlineLevel="1" x14ac:dyDescent="0.3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23892.6</v>
      </c>
      <c r="E21" s="2"/>
      <c r="F21" s="19">
        <f t="shared" si="4"/>
        <v>0.22994466048934478</v>
      </c>
      <c r="G21" s="2"/>
      <c r="H21" s="2"/>
      <c r="I21" s="2"/>
      <c r="J21" s="19">
        <f t="shared" si="5"/>
        <v>0</v>
      </c>
      <c r="K21" s="2"/>
      <c r="L21" s="2">
        <f t="shared" si="6"/>
        <v>23892.6</v>
      </c>
      <c r="M21" s="2"/>
      <c r="N21" s="19">
        <f t="shared" si="7"/>
        <v>0</v>
      </c>
      <c r="O21" s="11"/>
      <c r="P21" s="2">
        <v>217017.36</v>
      </c>
      <c r="Q21" s="2"/>
      <c r="R21" s="19">
        <f t="shared" si="8"/>
        <v>0.36850791720075521</v>
      </c>
      <c r="S21" s="2"/>
      <c r="T21" s="2"/>
      <c r="U21" s="2"/>
      <c r="V21" s="19">
        <f t="shared" si="9"/>
        <v>0</v>
      </c>
      <c r="W21" s="2"/>
      <c r="X21" s="2">
        <f t="shared" si="10"/>
        <v>217017.36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18802.330000000002</v>
      </c>
      <c r="E22" s="2"/>
      <c r="F22" s="19">
        <f t="shared" si="4"/>
        <v>0.18095541666702758</v>
      </c>
      <c r="G22" s="2"/>
      <c r="H22" s="2"/>
      <c r="I22" s="2"/>
      <c r="J22" s="19">
        <f t="shared" si="5"/>
        <v>0</v>
      </c>
      <c r="K22" s="2"/>
      <c r="L22" s="2">
        <f t="shared" si="6"/>
        <v>18802.330000000002</v>
      </c>
      <c r="M22" s="2"/>
      <c r="N22" s="19">
        <f t="shared" si="7"/>
        <v>0</v>
      </c>
      <c r="O22" s="11"/>
      <c r="P22" s="2">
        <v>16621.73</v>
      </c>
      <c r="Q22" s="2"/>
      <c r="R22" s="19">
        <f t="shared" si="8"/>
        <v>2.8224650334762659E-2</v>
      </c>
      <c r="S22" s="2"/>
      <c r="T22" s="2"/>
      <c r="U22" s="2"/>
      <c r="V22" s="19">
        <f t="shared" si="9"/>
        <v>0</v>
      </c>
      <c r="W22" s="2"/>
      <c r="X22" s="2">
        <f t="shared" si="10"/>
        <v>16621.73</v>
      </c>
      <c r="Y22" s="2"/>
      <c r="Z22" s="19">
        <f t="shared" si="11"/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108</v>
      </c>
      <c r="C24" s="26"/>
      <c r="D24" s="20">
        <f>D12-D19</f>
        <v>61210.94000000001</v>
      </c>
      <c r="E24" s="13"/>
      <c r="F24" s="22">
        <f>IF(D$12=0,0,D24/D$12)</f>
        <v>0.58909992284362767</v>
      </c>
      <c r="G24" s="13"/>
      <c r="H24" s="20">
        <f>H12-H19</f>
        <v>56644</v>
      </c>
      <c r="I24" s="13"/>
      <c r="J24" s="22">
        <f>IF(H$12=0,0,H24/H$12)</f>
        <v>0.65512415715392713</v>
      </c>
      <c r="K24" s="16"/>
      <c r="L24" s="20">
        <f>+D24-H24</f>
        <v>4566.9400000000096</v>
      </c>
      <c r="M24" s="16"/>
      <c r="N24" s="22">
        <f>IF(H24=0,0,L24/H24)</f>
        <v>8.0625308947108426E-2</v>
      </c>
      <c r="O24" s="25"/>
      <c r="P24" s="20">
        <f>P12-P19</f>
        <v>355269.18000000005</v>
      </c>
      <c r="Q24" s="13"/>
      <c r="R24" s="22">
        <f>IF(P$12=0,0,P24/P$12)</f>
        <v>0.60326743246448222</v>
      </c>
      <c r="S24" s="13"/>
      <c r="T24" s="20">
        <f>T12-T19</f>
        <v>327244</v>
      </c>
      <c r="U24" s="13"/>
      <c r="V24" s="22">
        <f>IF(T$12=0,0,T24/T$12)</f>
        <v>0.65460844795442363</v>
      </c>
      <c r="W24" s="16"/>
      <c r="X24" s="20">
        <f>+P24-T24</f>
        <v>28025.180000000051</v>
      </c>
      <c r="Y24" s="16"/>
      <c r="Z24" s="22">
        <f>IF(T24=0,0,X24/T24)</f>
        <v>8.5640011734363503E-2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295</v>
      </c>
      <c r="C26" s="10"/>
      <c r="D26" s="21">
        <f>SUM(OSRRefD22x_0)</f>
        <v>179034.32000000004</v>
      </c>
      <c r="E26" s="21"/>
      <c r="F26" s="32">
        <f t="shared" ref="F26:F36" si="12">IF(D$12=0,0,D26/D$12)</f>
        <v>1.7230433660773932</v>
      </c>
      <c r="G26" s="21"/>
      <c r="H26" s="21">
        <f>SUM(OSRRefH22x_0)</f>
        <v>159488.08146590664</v>
      </c>
      <c r="I26" s="21"/>
      <c r="J26" s="32">
        <f t="shared" ref="J26:J36" si="13">IF(H$12=0,0,H26/H$12)</f>
        <v>1.8445818612112306</v>
      </c>
      <c r="K26" s="4"/>
      <c r="L26" s="21">
        <f t="shared" ref="L26:L36" si="14">+D26-H26</f>
        <v>19546.238534093398</v>
      </c>
      <c r="M26" s="4"/>
      <c r="N26" s="32">
        <f t="shared" ref="N26:N36" si="15">IF(H26=0,0,L26/H26)</f>
        <v>0.12255610798272563</v>
      </c>
      <c r="O26" s="10"/>
      <c r="P26" s="21">
        <f>SUM(OSRRefP22x_0)</f>
        <v>1074123.22</v>
      </c>
      <c r="Q26" s="21"/>
      <c r="R26" s="32">
        <f t="shared" ref="R26:R36" si="16">IF(P$12=0,0,P26/P$12)</f>
        <v>1.823922798706834</v>
      </c>
      <c r="S26" s="21"/>
      <c r="T26" s="21">
        <f>SUM(OSRRefT22x_0)</f>
        <v>1022465.0086415893</v>
      </c>
      <c r="U26" s="21"/>
      <c r="V26" s="32">
        <f t="shared" ref="V26:V36" si="17">IF(T$12=0,0,T26/T$12)</f>
        <v>2.0453063536522507</v>
      </c>
      <c r="W26" s="4"/>
      <c r="X26" s="21">
        <f t="shared" ref="X26:X36" si="18">+P26-T26</f>
        <v>51658.211358410656</v>
      </c>
      <c r="Y26" s="4"/>
      <c r="Z26" s="32">
        <f t="shared" ref="Z26:Z36" si="19">IF(T26=0,0,X26/T26)</f>
        <v>5.0523207074872831E-2</v>
      </c>
    </row>
    <row r="27" spans="1:26" s="28" customFormat="1" outlineLevel="1" collapsed="1" x14ac:dyDescent="0.3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31050.93</v>
      </c>
      <c r="E27" s="1"/>
      <c r="F27" s="5">
        <f t="shared" si="12"/>
        <v>0.29883711093511844</v>
      </c>
      <c r="G27" s="1"/>
      <c r="H27" s="1">
        <f>SUM(OSRRefH22_0x_0)</f>
        <v>23952.552685906623</v>
      </c>
      <c r="I27" s="1"/>
      <c r="J27" s="5">
        <f t="shared" si="13"/>
        <v>0.27702662047241738</v>
      </c>
      <c r="K27" s="1"/>
      <c r="L27" s="1">
        <f t="shared" si="14"/>
        <v>7098.3773140933772</v>
      </c>
      <c r="M27" s="1"/>
      <c r="N27" s="5">
        <f t="shared" si="15"/>
        <v>0.29635160006432099</v>
      </c>
      <c r="O27" s="14"/>
      <c r="P27" s="1">
        <f>SUM(OSRRefP22_0x_0)</f>
        <v>177699.27000000002</v>
      </c>
      <c r="Q27" s="1"/>
      <c r="R27" s="5">
        <f t="shared" si="16"/>
        <v>0.30174354657984342</v>
      </c>
      <c r="S27" s="1"/>
      <c r="T27" s="1">
        <f>SUM(OSRRefT22_0x_0)</f>
        <v>164367.24413158937</v>
      </c>
      <c r="U27" s="1"/>
      <c r="V27" s="5">
        <f t="shared" si="17"/>
        <v>0.32879498654070222</v>
      </c>
      <c r="W27" s="1"/>
      <c r="X27" s="1">
        <f t="shared" si="18"/>
        <v>13332.025868410652</v>
      </c>
      <c r="Y27" s="1"/>
      <c r="Z27" s="5">
        <f t="shared" si="19"/>
        <v>8.111120885945669E-2</v>
      </c>
    </row>
    <row r="28" spans="1:26" s="24" customFormat="1" hidden="1" outlineLevel="2" x14ac:dyDescent="0.3">
      <c r="A28" s="29"/>
      <c r="B28" s="11" t="str">
        <f>CONCATENATE("          ", "6111", " - ", "F.I.C.A.")</f>
        <v xml:space="preserve">          6111 - F.I.C.A.</v>
      </c>
      <c r="C28" s="11"/>
      <c r="D28" s="6">
        <v>4623.21</v>
      </c>
      <c r="E28" s="2"/>
      <c r="F28" s="7">
        <f t="shared" si="12"/>
        <v>4.4494213849515907E-2</v>
      </c>
      <c r="G28" s="2"/>
      <c r="H28" s="6">
        <v>2873.05579990661</v>
      </c>
      <c r="I28" s="2"/>
      <c r="J28" s="7">
        <f t="shared" si="13"/>
        <v>3.3228731363781155E-2</v>
      </c>
      <c r="K28" s="2"/>
      <c r="L28" s="6">
        <f t="shared" si="14"/>
        <v>1750.15420009339</v>
      </c>
      <c r="M28" s="2"/>
      <c r="N28" s="7">
        <f t="shared" si="15"/>
        <v>0.60916122831665143</v>
      </c>
      <c r="O28" s="11"/>
      <c r="P28" s="6">
        <v>26392.55</v>
      </c>
      <c r="Q28" s="2"/>
      <c r="R28" s="7">
        <f t="shared" si="16"/>
        <v>4.4816062780031939E-2</v>
      </c>
      <c r="S28" s="2"/>
      <c r="T28" s="6">
        <v>21189.616894973999</v>
      </c>
      <c r="U28" s="2"/>
      <c r="V28" s="7">
        <f t="shared" si="17"/>
        <v>4.238703300402074E-2</v>
      </c>
      <c r="W28" s="2"/>
      <c r="X28" s="6">
        <f t="shared" si="18"/>
        <v>5202.9331050260007</v>
      </c>
      <c r="Y28" s="2"/>
      <c r="Z28" s="7">
        <f t="shared" si="19"/>
        <v>0.24554163158372597</v>
      </c>
    </row>
    <row r="29" spans="1:26" s="24" customFormat="1" hidden="1" outlineLevel="2" x14ac:dyDescent="0.3">
      <c r="A29" s="29"/>
      <c r="B29" s="11" t="str">
        <f>CONCATENATE("          ", "6112", " - ", "COMPENSATION INSURANCE")</f>
        <v xml:space="preserve">          6112 - COMPENSATION INSURANCE</v>
      </c>
      <c r="C29" s="11"/>
      <c r="D29" s="6">
        <v>2281.1</v>
      </c>
      <c r="E29" s="2"/>
      <c r="F29" s="7">
        <f t="shared" si="12"/>
        <v>2.1953523896195658E-2</v>
      </c>
      <c r="G29" s="2"/>
      <c r="H29" s="6">
        <v>2216.0722295369201</v>
      </c>
      <c r="I29" s="2"/>
      <c r="J29" s="7">
        <f t="shared" si="13"/>
        <v>2.5630295381110071E-2</v>
      </c>
      <c r="K29" s="2"/>
      <c r="L29" s="6">
        <f t="shared" si="14"/>
        <v>65.027770463079833</v>
      </c>
      <c r="M29" s="2"/>
      <c r="N29" s="7">
        <f t="shared" si="15"/>
        <v>2.9343705316260522E-2</v>
      </c>
      <c r="O29" s="11"/>
      <c r="P29" s="6">
        <v>12193.79</v>
      </c>
      <c r="Q29" s="2"/>
      <c r="R29" s="7">
        <f t="shared" si="16"/>
        <v>2.0705754395332232E-2</v>
      </c>
      <c r="S29" s="2"/>
      <c r="T29" s="6">
        <v>14768.469342820001</v>
      </c>
      <c r="U29" s="2"/>
      <c r="V29" s="7">
        <f t="shared" si="17"/>
        <v>2.9542374482544789E-2</v>
      </c>
      <c r="W29" s="2"/>
      <c r="X29" s="6">
        <f t="shared" si="18"/>
        <v>-2574.6793428199999</v>
      </c>
      <c r="Y29" s="2"/>
      <c r="Z29" s="7">
        <f t="shared" si="19"/>
        <v>-0.17433623505957535</v>
      </c>
    </row>
    <row r="30" spans="1:26" s="24" customFormat="1" hidden="1" outlineLevel="2" x14ac:dyDescent="0.3">
      <c r="A30" s="29"/>
      <c r="B30" s="11" t="str">
        <f>CONCATENATE("          ", "6113", " - ", "GROUP INSURANCE")</f>
        <v xml:space="preserve">          6113 - GROUP INSURANCE</v>
      </c>
      <c r="C30" s="11"/>
      <c r="D30" s="6">
        <v>12639.58</v>
      </c>
      <c r="E30" s="2"/>
      <c r="F30" s="7">
        <f t="shared" si="12"/>
        <v>0.12164452306688735</v>
      </c>
      <c r="G30" s="2"/>
      <c r="H30" s="6">
        <v>11142.123076923101</v>
      </c>
      <c r="I30" s="2"/>
      <c r="J30" s="7">
        <f t="shared" si="13"/>
        <v>0.12886579319388758</v>
      </c>
      <c r="K30" s="2"/>
      <c r="L30" s="6">
        <f t="shared" si="14"/>
        <v>1497.4569230768993</v>
      </c>
      <c r="M30" s="2"/>
      <c r="N30" s="7">
        <f t="shared" si="15"/>
        <v>0.13439601346518446</v>
      </c>
      <c r="O30" s="11"/>
      <c r="P30" s="6">
        <v>74931.56</v>
      </c>
      <c r="Q30" s="2"/>
      <c r="R30" s="7">
        <f t="shared" si="16"/>
        <v>0.12723808412471435</v>
      </c>
      <c r="S30" s="2"/>
      <c r="T30" s="6">
        <v>78595.165384615393</v>
      </c>
      <c r="U30" s="2"/>
      <c r="V30" s="7">
        <f t="shared" si="17"/>
        <v>0.15721925911290757</v>
      </c>
      <c r="W30" s="2"/>
      <c r="X30" s="6">
        <f t="shared" si="18"/>
        <v>-3663.6053846153955</v>
      </c>
      <c r="Y30" s="2"/>
      <c r="Z30" s="7">
        <f t="shared" si="19"/>
        <v>-4.6613622691511349E-2</v>
      </c>
    </row>
    <row r="31" spans="1:26" s="24" customFormat="1" hidden="1" outlineLevel="2" x14ac:dyDescent="0.3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6">
        <v>194.61</v>
      </c>
      <c r="E31" s="2"/>
      <c r="F31" s="7">
        <f t="shared" si="12"/>
        <v>1.8729451954928051E-3</v>
      </c>
      <c r="G31" s="2"/>
      <c r="H31" s="6">
        <v>122.790281847692</v>
      </c>
      <c r="I31" s="2"/>
      <c r="J31" s="7">
        <f t="shared" si="13"/>
        <v>1.4201482928847254E-3</v>
      </c>
      <c r="K31" s="2"/>
      <c r="L31" s="6">
        <f t="shared" si="14"/>
        <v>71.819718152308013</v>
      </c>
      <c r="M31" s="2"/>
      <c r="N31" s="7">
        <f t="shared" si="15"/>
        <v>0.58489741265837769</v>
      </c>
      <c r="O31" s="11"/>
      <c r="P31" s="6">
        <v>1072.27</v>
      </c>
      <c r="Q31" s="2"/>
      <c r="R31" s="7">
        <f t="shared" si="16"/>
        <v>1.8207759249161163E-3</v>
      </c>
      <c r="S31" s="2"/>
      <c r="T31" s="6">
        <v>818.30568917999994</v>
      </c>
      <c r="U31" s="2"/>
      <c r="V31" s="7">
        <f t="shared" si="17"/>
        <v>1.6369125702729301E-3</v>
      </c>
      <c r="W31" s="2"/>
      <c r="X31" s="6">
        <f t="shared" si="18"/>
        <v>253.96431082000004</v>
      </c>
      <c r="Y31" s="2"/>
      <c r="Z31" s="7">
        <f t="shared" si="19"/>
        <v>0.31035383742045125</v>
      </c>
    </row>
    <row r="32" spans="1:26" s="24" customFormat="1" hidden="1" outlineLevel="2" x14ac:dyDescent="0.3">
      <c r="A32" s="29"/>
      <c r="B32" s="11" t="str">
        <f>CONCATENATE("          ", "6115", " - ", "P.E.R.S.")</f>
        <v xml:space="preserve">          6115 - P.E.R.S.</v>
      </c>
      <c r="C32" s="11"/>
      <c r="D32" s="6">
        <v>3682.62</v>
      </c>
      <c r="E32" s="2"/>
      <c r="F32" s="7">
        <f t="shared" si="12"/>
        <v>3.5441886007017691E-2</v>
      </c>
      <c r="G32" s="2"/>
      <c r="H32" s="6">
        <v>2348.8135430769198</v>
      </c>
      <c r="I32" s="2"/>
      <c r="J32" s="7">
        <f t="shared" si="13"/>
        <v>2.7165533732081002E-2</v>
      </c>
      <c r="K32" s="2"/>
      <c r="L32" s="6">
        <f t="shared" si="14"/>
        <v>1333.8064569230801</v>
      </c>
      <c r="M32" s="2"/>
      <c r="N32" s="7">
        <f t="shared" si="15"/>
        <v>0.5678639161692709</v>
      </c>
      <c r="O32" s="11"/>
      <c r="P32" s="6">
        <v>21030.74</v>
      </c>
      <c r="Q32" s="2"/>
      <c r="R32" s="7">
        <f t="shared" si="16"/>
        <v>3.571140204908313E-2</v>
      </c>
      <c r="S32" s="2"/>
      <c r="T32" s="6">
        <v>15267.28803</v>
      </c>
      <c r="U32" s="2"/>
      <c r="V32" s="7">
        <f t="shared" si="17"/>
        <v>3.0540195455963898E-2</v>
      </c>
      <c r="W32" s="2"/>
      <c r="X32" s="6">
        <f t="shared" si="18"/>
        <v>5763.4519700000019</v>
      </c>
      <c r="Y32" s="2"/>
      <c r="Z32" s="7">
        <f t="shared" si="19"/>
        <v>0.37750332335873288</v>
      </c>
    </row>
    <row r="33" spans="1:26" s="24" customFormat="1" hidden="1" outlineLevel="2" x14ac:dyDescent="0.3">
      <c r="A33" s="29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3">
      <c r="A34" s="29"/>
      <c r="B34" s="11" t="str">
        <f>CONCATENATE("          ", "6118", " - ", "VACATION")</f>
        <v xml:space="preserve">          6118 - VACATION</v>
      </c>
      <c r="C34" s="11"/>
      <c r="D34" s="6">
        <v>3447.32</v>
      </c>
      <c r="E34" s="2"/>
      <c r="F34" s="7">
        <f t="shared" si="12"/>
        <v>3.3177336371852717E-2</v>
      </c>
      <c r="G34" s="2"/>
      <c r="H34" s="6">
        <v>2169.3098643076901</v>
      </c>
      <c r="I34" s="2"/>
      <c r="J34" s="7">
        <f t="shared" si="13"/>
        <v>2.5089458662175615E-2</v>
      </c>
      <c r="K34" s="2"/>
      <c r="L34" s="6">
        <f t="shared" si="14"/>
        <v>1278.0101356923101</v>
      </c>
      <c r="M34" s="2"/>
      <c r="N34" s="7">
        <f t="shared" si="15"/>
        <v>0.58913212755807576</v>
      </c>
      <c r="O34" s="11"/>
      <c r="P34" s="6">
        <v>20114.97</v>
      </c>
      <c r="Q34" s="2"/>
      <c r="R34" s="7">
        <f t="shared" si="16"/>
        <v>3.4156372095097254E-2</v>
      </c>
      <c r="S34" s="2"/>
      <c r="T34" s="6">
        <v>14613.038774000001</v>
      </c>
      <c r="U34" s="2"/>
      <c r="V34" s="7">
        <f t="shared" si="17"/>
        <v>2.9231456135929011E-2</v>
      </c>
      <c r="W34" s="2"/>
      <c r="X34" s="6">
        <f t="shared" si="18"/>
        <v>5501.9312260000006</v>
      </c>
      <c r="Y34" s="2"/>
      <c r="Z34" s="7">
        <f t="shared" si="19"/>
        <v>0.37650835743960509</v>
      </c>
    </row>
    <row r="35" spans="1:26" s="24" customFormat="1" hidden="1" outlineLevel="2" x14ac:dyDescent="0.3">
      <c r="A35" s="29"/>
      <c r="B35" s="11" t="str">
        <f>CONCATENATE("          ", "6119", " - ", "SICK LEAVE")</f>
        <v xml:space="preserve">          6119 - SICK LEAVE</v>
      </c>
      <c r="C35" s="11"/>
      <c r="D35" s="6">
        <v>2396.88</v>
      </c>
      <c r="E35" s="2"/>
      <c r="F35" s="7">
        <f t="shared" si="12"/>
        <v>2.3067801655479135E-2</v>
      </c>
      <c r="G35" s="2"/>
      <c r="H35" s="6">
        <v>1055.38789030769</v>
      </c>
      <c r="I35" s="2"/>
      <c r="J35" s="7">
        <f t="shared" si="13"/>
        <v>1.2206237237982606E-2</v>
      </c>
      <c r="K35" s="2"/>
      <c r="L35" s="6">
        <f t="shared" si="14"/>
        <v>1341.4921096923101</v>
      </c>
      <c r="M35" s="2"/>
      <c r="N35" s="7">
        <f t="shared" si="15"/>
        <v>1.2710891625838239</v>
      </c>
      <c r="O35" s="11"/>
      <c r="P35" s="6">
        <v>13153.14</v>
      </c>
      <c r="Q35" s="2"/>
      <c r="R35" s="7">
        <f t="shared" si="16"/>
        <v>2.2334785687421234E-2</v>
      </c>
      <c r="S35" s="2"/>
      <c r="T35" s="6">
        <v>6917.3600159999996</v>
      </c>
      <c r="U35" s="2"/>
      <c r="V35" s="7">
        <f t="shared" si="17"/>
        <v>1.3837266088960368E-2</v>
      </c>
      <c r="W35" s="2"/>
      <c r="X35" s="6">
        <f t="shared" si="18"/>
        <v>6235.7799839999998</v>
      </c>
      <c r="Y35" s="2"/>
      <c r="Z35" s="7">
        <f t="shared" si="19"/>
        <v>0.90146818577846299</v>
      </c>
    </row>
    <row r="36" spans="1:26" s="24" customFormat="1" hidden="1" outlineLevel="2" x14ac:dyDescent="0.3">
      <c r="A36" s="29"/>
      <c r="B36" s="11" t="str">
        <f>CONCATENATE("          ", "6156", " - ", "EMPLOYEE MEALS")</f>
        <v xml:space="preserve">          6156 - EMPLOYEE MEALS</v>
      </c>
      <c r="C36" s="11"/>
      <c r="D36" s="6">
        <v>1785.61</v>
      </c>
      <c r="E36" s="2"/>
      <c r="F36" s="7">
        <f t="shared" si="12"/>
        <v>1.7184880892677185E-2</v>
      </c>
      <c r="G36" s="2"/>
      <c r="H36" s="6">
        <v>2025</v>
      </c>
      <c r="I36" s="2"/>
      <c r="J36" s="7">
        <f t="shared" si="13"/>
        <v>2.3420422608514624E-2</v>
      </c>
      <c r="K36" s="2"/>
      <c r="L36" s="6">
        <f t="shared" si="14"/>
        <v>-239.3900000000001</v>
      </c>
      <c r="M36" s="2"/>
      <c r="N36" s="7">
        <f t="shared" si="15"/>
        <v>-0.11821728395061733</v>
      </c>
      <c r="O36" s="11"/>
      <c r="P36" s="6">
        <v>8810.25</v>
      </c>
      <c r="Q36" s="2"/>
      <c r="R36" s="7">
        <f t="shared" si="16"/>
        <v>1.4960309523247143E-2</v>
      </c>
      <c r="S36" s="2"/>
      <c r="T36" s="6">
        <v>12198</v>
      </c>
      <c r="U36" s="2"/>
      <c r="V36" s="7">
        <f t="shared" si="17"/>
        <v>2.4400489690102979E-2</v>
      </c>
      <c r="W36" s="2"/>
      <c r="X36" s="6">
        <f t="shared" si="18"/>
        <v>-3387.75</v>
      </c>
      <c r="Y36" s="2"/>
      <c r="Z36" s="7">
        <f t="shared" si="19"/>
        <v>-0.27772995573044762</v>
      </c>
    </row>
    <row r="37" spans="1:26" s="28" customFormat="1" outlineLevel="1" collapsed="1" x14ac:dyDescent="0.3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69071.39</v>
      </c>
      <c r="E37" s="1"/>
      <c r="F37" s="5">
        <f t="shared" ref="F37:F47" si="20">IF(D$12=0,0,D37/D$12)</f>
        <v>0.66474964311448426</v>
      </c>
      <c r="G37" s="1"/>
      <c r="H37" s="1">
        <f>SUM(OSRRefH22_1x_0)</f>
        <v>55306.528779999993</v>
      </c>
      <c r="I37" s="1"/>
      <c r="J37" s="5">
        <f t="shared" ref="J37:J47" si="21">IF(H$12=0,0,H37/H$12)</f>
        <v>0.63965544545065511</v>
      </c>
      <c r="K37" s="1"/>
      <c r="L37" s="1">
        <f t="shared" ref="L37:L47" si="22">+D37-H37</f>
        <v>13764.861220000006</v>
      </c>
      <c r="M37" s="1"/>
      <c r="N37" s="5">
        <f t="shared" ref="N37:N47" si="23">IF(H37=0,0,L37/H37)</f>
        <v>0.24888311603778812</v>
      </c>
      <c r="O37" s="14"/>
      <c r="P37" s="1">
        <f>SUM(OSRRefP22_1x_0)</f>
        <v>390881.49</v>
      </c>
      <c r="Q37" s="1"/>
      <c r="R37" s="5">
        <f t="shared" ref="R37:R47" si="24">IF(P$12=0,0,P37/P$12)</f>
        <v>0.66373917622179079</v>
      </c>
      <c r="S37" s="1"/>
      <c r="T37" s="1">
        <f>SUM(OSRRefT22_1x_0)</f>
        <v>368556.76451000001</v>
      </c>
      <c r="U37" s="1"/>
      <c r="V37" s="5">
        <f t="shared" ref="V37:V47" si="25">IF(T$12=0,0,T37/T$12)</f>
        <v>0.73724918286964802</v>
      </c>
      <c r="W37" s="1"/>
      <c r="X37" s="1">
        <f t="shared" ref="X37:X47" si="26">+P37-T37</f>
        <v>22324.725489999983</v>
      </c>
      <c r="Y37" s="1"/>
      <c r="Z37" s="5">
        <f t="shared" ref="Z37:Z47" si="27">IF(T37=0,0,X37/T37)</f>
        <v>6.0573370616819187E-2</v>
      </c>
    </row>
    <row r="38" spans="1:26" s="24" customFormat="1" hidden="1" outlineLevel="2" x14ac:dyDescent="0.3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>
        <v>10936.46</v>
      </c>
      <c r="E38" s="2"/>
      <c r="F38" s="7">
        <f t="shared" si="20"/>
        <v>0.10525353379938976</v>
      </c>
      <c r="G38" s="2"/>
      <c r="H38" s="6">
        <v>10268.307692307701</v>
      </c>
      <c r="I38" s="2"/>
      <c r="J38" s="7">
        <f t="shared" si="21"/>
        <v>0.11875955833486811</v>
      </c>
      <c r="K38" s="2"/>
      <c r="L38" s="6">
        <f t="shared" si="22"/>
        <v>668.15230769229856</v>
      </c>
      <c r="M38" s="2"/>
      <c r="N38" s="7">
        <f t="shared" si="23"/>
        <v>6.5069369531342694E-2</v>
      </c>
      <c r="O38" s="11"/>
      <c r="P38" s="6">
        <v>63869.77</v>
      </c>
      <c r="Q38" s="2"/>
      <c r="R38" s="7">
        <f t="shared" si="24"/>
        <v>0.10845453061815552</v>
      </c>
      <c r="S38" s="2"/>
      <c r="T38" s="6">
        <v>66744</v>
      </c>
      <c r="U38" s="2"/>
      <c r="V38" s="7">
        <f t="shared" si="25"/>
        <v>0.13351256631220146</v>
      </c>
      <c r="W38" s="2"/>
      <c r="X38" s="6">
        <f t="shared" si="26"/>
        <v>-2874.2300000000032</v>
      </c>
      <c r="Y38" s="2"/>
      <c r="Z38" s="7">
        <f t="shared" si="27"/>
        <v>-4.3063496344240726E-2</v>
      </c>
    </row>
    <row r="39" spans="1:26" s="24" customFormat="1" hidden="1" outlineLevel="2" x14ac:dyDescent="0.3">
      <c r="A39" s="29"/>
      <c r="B39" s="11" t="str">
        <f>CONCATENATE("          ", "6002", " - ", "STAFF SALARIES")</f>
        <v xml:space="preserve">          6002 - STAFF SALARIES</v>
      </c>
      <c r="C39" s="11"/>
      <c r="D39" s="6">
        <v>24011.85</v>
      </c>
      <c r="E39" s="2"/>
      <c r="F39" s="7">
        <f t="shared" si="20"/>
        <v>0.23109233385948258</v>
      </c>
      <c r="G39" s="2"/>
      <c r="H39" s="6">
        <v>14790.503807692299</v>
      </c>
      <c r="I39" s="2"/>
      <c r="J39" s="7">
        <f t="shared" si="21"/>
        <v>0.17106165420691277</v>
      </c>
      <c r="K39" s="2"/>
      <c r="L39" s="6">
        <f t="shared" si="22"/>
        <v>9221.3461923076993</v>
      </c>
      <c r="M39" s="2"/>
      <c r="N39" s="7">
        <f t="shared" si="23"/>
        <v>0.62346396797598114</v>
      </c>
      <c r="O39" s="11"/>
      <c r="P39" s="6">
        <v>134948.25</v>
      </c>
      <c r="Q39" s="2"/>
      <c r="R39" s="7">
        <f t="shared" si="24"/>
        <v>0.22914986403570117</v>
      </c>
      <c r="S39" s="2"/>
      <c r="T39" s="6">
        <v>96138.274749999997</v>
      </c>
      <c r="U39" s="2"/>
      <c r="V39" s="7">
        <f t="shared" si="25"/>
        <v>0.19231193489602086</v>
      </c>
      <c r="W39" s="2"/>
      <c r="X39" s="6">
        <f t="shared" si="26"/>
        <v>38809.975250000003</v>
      </c>
      <c r="Y39" s="2"/>
      <c r="Z39" s="7">
        <f t="shared" si="27"/>
        <v>0.40368911706520927</v>
      </c>
    </row>
    <row r="40" spans="1:26" s="24" customFormat="1" hidden="1" outlineLevel="2" x14ac:dyDescent="0.3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"6004", " - ", "STAFF HOURLY")</f>
        <v xml:space="preserve">          6004 - STAFF HOURLY</v>
      </c>
      <c r="C41" s="11"/>
      <c r="D41" s="6">
        <v>10196.1</v>
      </c>
      <c r="E41" s="2"/>
      <c r="F41" s="7">
        <f t="shared" si="20"/>
        <v>9.8128238568234882E-2</v>
      </c>
      <c r="G41" s="2"/>
      <c r="H41" s="6">
        <v>8816.1322799999998</v>
      </c>
      <c r="I41" s="2"/>
      <c r="J41" s="7">
        <f t="shared" si="21"/>
        <v>0.10196421914576177</v>
      </c>
      <c r="K41" s="2"/>
      <c r="L41" s="6">
        <f t="shared" si="22"/>
        <v>1379.9677200000006</v>
      </c>
      <c r="M41" s="2"/>
      <c r="N41" s="7">
        <f t="shared" si="23"/>
        <v>0.15652756516942831</v>
      </c>
      <c r="O41" s="11"/>
      <c r="P41" s="6">
        <v>55586.31</v>
      </c>
      <c r="Q41" s="2"/>
      <c r="R41" s="7">
        <f t="shared" si="24"/>
        <v>9.4388740711690122E-2</v>
      </c>
      <c r="S41" s="2"/>
      <c r="T41" s="6">
        <v>84303.869760000001</v>
      </c>
      <c r="U41" s="2"/>
      <c r="V41" s="7">
        <f t="shared" si="25"/>
        <v>0.16863876905350586</v>
      </c>
      <c r="W41" s="2"/>
      <c r="X41" s="6">
        <f t="shared" si="26"/>
        <v>-28717.559760000004</v>
      </c>
      <c r="Y41" s="2"/>
      <c r="Z41" s="7">
        <f t="shared" si="27"/>
        <v>-0.3406434347765343</v>
      </c>
    </row>
    <row r="42" spans="1:26" s="24" customFormat="1" hidden="1" outlineLevel="2" x14ac:dyDescent="0.3">
      <c r="A42" s="29"/>
      <c r="B42" s="11" t="str">
        <f>CONCATENATE("          ", "6005", " - ", "TEMPORARY WAGES-HOURLY")</f>
        <v xml:space="preserve">          6005 - TEMPORARY WAGES-HOURLY</v>
      </c>
      <c r="C42" s="11"/>
      <c r="D42" s="6">
        <v>10986.73</v>
      </c>
      <c r="E42" s="2"/>
      <c r="F42" s="7">
        <f t="shared" si="20"/>
        <v>0.10573733707248684</v>
      </c>
      <c r="G42" s="2"/>
      <c r="H42" s="6">
        <v>9345.9500000000007</v>
      </c>
      <c r="I42" s="2"/>
      <c r="J42" s="7">
        <f t="shared" si="21"/>
        <v>0.10809190058175173</v>
      </c>
      <c r="K42" s="2"/>
      <c r="L42" s="6">
        <f t="shared" si="22"/>
        <v>1640.7799999999988</v>
      </c>
      <c r="M42" s="2"/>
      <c r="N42" s="7">
        <f t="shared" si="23"/>
        <v>0.17556053691706019</v>
      </c>
      <c r="O42" s="11"/>
      <c r="P42" s="6">
        <v>62477.52</v>
      </c>
      <c r="Q42" s="2"/>
      <c r="R42" s="7">
        <f t="shared" si="24"/>
        <v>0.10609041031126969</v>
      </c>
      <c r="S42" s="2"/>
      <c r="T42" s="6">
        <v>56606.29</v>
      </c>
      <c r="U42" s="2"/>
      <c r="V42" s="7">
        <f t="shared" si="25"/>
        <v>0.1132334149483505</v>
      </c>
      <c r="W42" s="2"/>
      <c r="X42" s="6">
        <f t="shared" si="26"/>
        <v>5871.2299999999959</v>
      </c>
      <c r="Y42" s="2"/>
      <c r="Z42" s="7">
        <f t="shared" si="27"/>
        <v>0.10372045226776028</v>
      </c>
    </row>
    <row r="43" spans="1:26" s="24" customFormat="1" hidden="1" outlineLevel="2" x14ac:dyDescent="0.3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"6007", " - ", "STUDENT HOURLY")</f>
        <v xml:space="preserve">          6007 - STUDENT HOURLY</v>
      </c>
      <c r="C44" s="11"/>
      <c r="D44" s="6">
        <v>12940.25</v>
      </c>
      <c r="E44" s="2"/>
      <c r="F44" s="7">
        <f t="shared" si="20"/>
        <v>0.12453819981489014</v>
      </c>
      <c r="G44" s="2"/>
      <c r="H44" s="6">
        <v>992.31</v>
      </c>
      <c r="I44" s="2"/>
      <c r="J44" s="7">
        <f t="shared" si="21"/>
        <v>1.1476701016619826E-2</v>
      </c>
      <c r="K44" s="2"/>
      <c r="L44" s="6">
        <f t="shared" si="22"/>
        <v>11947.94</v>
      </c>
      <c r="M44" s="2"/>
      <c r="N44" s="7">
        <f t="shared" si="23"/>
        <v>12.040531688685997</v>
      </c>
      <c r="O44" s="11"/>
      <c r="P44" s="6">
        <v>73999.64</v>
      </c>
      <c r="Q44" s="2"/>
      <c r="R44" s="7">
        <f t="shared" si="24"/>
        <v>0.12565563054497433</v>
      </c>
      <c r="S44" s="2"/>
      <c r="T44" s="6">
        <v>11330.26</v>
      </c>
      <c r="U44" s="2"/>
      <c r="V44" s="7">
        <f t="shared" si="25"/>
        <v>2.2664690303015756E-2</v>
      </c>
      <c r="W44" s="2"/>
      <c r="X44" s="6">
        <f t="shared" si="26"/>
        <v>62669.38</v>
      </c>
      <c r="Y44" s="2"/>
      <c r="Z44" s="7">
        <f t="shared" si="27"/>
        <v>5.5311510945026852</v>
      </c>
    </row>
    <row r="45" spans="1:26" s="24" customFormat="1" hidden="1" outlineLevel="2" x14ac:dyDescent="0.3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11093.325000000001</v>
      </c>
      <c r="I45" s="2"/>
      <c r="J45" s="7">
        <f t="shared" si="21"/>
        <v>0.128301412164741</v>
      </c>
      <c r="K45" s="2"/>
      <c r="L45" s="6">
        <f t="shared" si="22"/>
        <v>-11093.325000000001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53434.07</v>
      </c>
      <c r="U45" s="2"/>
      <c r="V45" s="7">
        <f t="shared" si="25"/>
        <v>0.10688780735655361</v>
      </c>
      <c r="W45" s="2"/>
      <c r="X45" s="6">
        <f t="shared" si="26"/>
        <v>-53434.07</v>
      </c>
      <c r="Y45" s="2"/>
      <c r="Z45" s="7">
        <f t="shared" si="27"/>
        <v>-1</v>
      </c>
    </row>
    <row r="46" spans="1:26" s="24" customFormat="1" hidden="1" outlineLevel="2" x14ac:dyDescent="0.3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43.53</v>
      </c>
      <c r="E48" s="1"/>
      <c r="F48" s="5">
        <f t="shared" ref="F48:F56" si="28">IF(D$12=0,0,D48/D$12)</f>
        <v>4.1893687045784801E-4</v>
      </c>
      <c r="G48" s="1"/>
      <c r="H48" s="1">
        <f>SUM(OSRRefH22_2x_0)</f>
        <v>0</v>
      </c>
      <c r="I48" s="1"/>
      <c r="J48" s="5">
        <f t="shared" ref="J48:J56" si="29">IF(H$12=0,0,H48/H$12)</f>
        <v>0</v>
      </c>
      <c r="K48" s="1"/>
      <c r="L48" s="1">
        <f t="shared" ref="L48:L56" si="30">+D48-H48</f>
        <v>43.53</v>
      </c>
      <c r="M48" s="1"/>
      <c r="N48" s="5">
        <f t="shared" ref="N48:N56" si="31">IF(H48=0,0,L48/H48)</f>
        <v>0</v>
      </c>
      <c r="O48" s="14"/>
      <c r="P48" s="1">
        <f>SUM(OSRRefP22_2x_0)</f>
        <v>913.36</v>
      </c>
      <c r="Q48" s="1"/>
      <c r="R48" s="5">
        <f t="shared" ref="R48:R56" si="32">IF(P$12=0,0,P48/P$12)</f>
        <v>1.5509376358392793E-3</v>
      </c>
      <c r="S48" s="1"/>
      <c r="T48" s="1">
        <f>SUM(OSRRefT22_2x_0)</f>
        <v>0</v>
      </c>
      <c r="U48" s="1"/>
      <c r="V48" s="5">
        <f t="shared" ref="V48:V56" si="33">IF(T$12=0,0,T48/T$12)</f>
        <v>0</v>
      </c>
      <c r="W48" s="1"/>
      <c r="X48" s="1">
        <f t="shared" ref="X48:X56" si="34">+P48-T48</f>
        <v>913.36</v>
      </c>
      <c r="Y48" s="1"/>
      <c r="Z48" s="5">
        <f t="shared" ref="Z48:Z56" si="35">IF(T48=0,0,X48/T48)</f>
        <v>0</v>
      </c>
    </row>
    <row r="49" spans="1:26" s="24" customFormat="1" hidden="1" outlineLevel="2" x14ac:dyDescent="0.3">
      <c r="A49" s="29"/>
      <c r="B49" s="11" t="str">
        <f>CONCATENATE("          ", "6362", " - ", "ADVERTISING EXPENSE")</f>
        <v xml:space="preserve">          6362 - ADVERTISING EXPENSE</v>
      </c>
      <c r="C49" s="11"/>
      <c r="D49" s="6">
        <v>43.53</v>
      </c>
      <c r="E49" s="2"/>
      <c r="F49" s="7">
        <f t="shared" si="28"/>
        <v>4.1893687045784801E-4</v>
      </c>
      <c r="G49" s="2"/>
      <c r="H49" s="6"/>
      <c r="I49" s="2"/>
      <c r="J49" s="7">
        <f t="shared" si="29"/>
        <v>0</v>
      </c>
      <c r="K49" s="2"/>
      <c r="L49" s="6">
        <f t="shared" si="30"/>
        <v>43.53</v>
      </c>
      <c r="M49" s="2"/>
      <c r="N49" s="7">
        <f t="shared" si="31"/>
        <v>0</v>
      </c>
      <c r="O49" s="11"/>
      <c r="P49" s="6">
        <v>913.36</v>
      </c>
      <c r="Q49" s="2"/>
      <c r="R49" s="7">
        <f t="shared" si="32"/>
        <v>1.5509376358392793E-3</v>
      </c>
      <c r="S49" s="2"/>
      <c r="T49" s="6"/>
      <c r="U49" s="2"/>
      <c r="V49" s="7">
        <f t="shared" si="33"/>
        <v>0</v>
      </c>
      <c r="W49" s="2"/>
      <c r="X49" s="6">
        <f t="shared" si="34"/>
        <v>913.36</v>
      </c>
      <c r="Y49" s="2"/>
      <c r="Z49" s="7">
        <f t="shared" si="35"/>
        <v>0</v>
      </c>
    </row>
    <row r="50" spans="1:26" s="28" customFormat="1" outlineLevel="1" collapsed="1" x14ac:dyDescent="0.3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26</v>
      </c>
      <c r="E50" s="1"/>
      <c r="F50" s="5">
        <f t="shared" si="28"/>
        <v>2.5022647902375484E-4</v>
      </c>
      <c r="G50" s="1"/>
      <c r="H50" s="1">
        <f>SUM(OSRRefH22_3x_0)</f>
        <v>10</v>
      </c>
      <c r="I50" s="1"/>
      <c r="J50" s="5">
        <f t="shared" si="29"/>
        <v>1.1565640794328209E-4</v>
      </c>
      <c r="K50" s="1"/>
      <c r="L50" s="1">
        <f t="shared" si="30"/>
        <v>16</v>
      </c>
      <c r="M50" s="1"/>
      <c r="N50" s="5">
        <f t="shared" si="31"/>
        <v>1.6</v>
      </c>
      <c r="O50" s="14"/>
      <c r="P50" s="1">
        <f>SUM(OSRRefP22_3x_0)</f>
        <v>-80.91</v>
      </c>
      <c r="Q50" s="1"/>
      <c r="R50" s="5">
        <f t="shared" si="32"/>
        <v>-1.3738981794227478E-4</v>
      </c>
      <c r="S50" s="1"/>
      <c r="T50" s="1">
        <f>SUM(OSRRefT22_3x_0)</f>
        <v>50</v>
      </c>
      <c r="U50" s="1"/>
      <c r="V50" s="5">
        <f t="shared" si="33"/>
        <v>1.0001840338622307E-4</v>
      </c>
      <c r="W50" s="1"/>
      <c r="X50" s="1">
        <f t="shared" si="34"/>
        <v>-130.91</v>
      </c>
      <c r="Y50" s="1"/>
      <c r="Z50" s="5">
        <f t="shared" si="35"/>
        <v>-2.6181999999999999</v>
      </c>
    </row>
    <row r="51" spans="1:26" s="24" customFormat="1" hidden="1" outlineLevel="2" x14ac:dyDescent="0.3">
      <c r="A51" s="29"/>
      <c r="B51" s="11" t="str">
        <f>CONCATENATE("          ", "6272", " - ", "CASH (OVER/SHORT)")</f>
        <v xml:space="preserve">          6272 - CASH (OVER/SHORT)</v>
      </c>
      <c r="C51" s="11"/>
      <c r="D51" s="6">
        <v>26</v>
      </c>
      <c r="E51" s="2"/>
      <c r="F51" s="7">
        <f t="shared" si="28"/>
        <v>2.5022647902375484E-4</v>
      </c>
      <c r="G51" s="2"/>
      <c r="H51" s="6">
        <v>10</v>
      </c>
      <c r="I51" s="2"/>
      <c r="J51" s="7">
        <f t="shared" si="29"/>
        <v>1.1565640794328209E-4</v>
      </c>
      <c r="K51" s="2"/>
      <c r="L51" s="6">
        <f t="shared" si="30"/>
        <v>16</v>
      </c>
      <c r="M51" s="2"/>
      <c r="N51" s="7">
        <f t="shared" si="31"/>
        <v>1.6</v>
      </c>
      <c r="O51" s="11"/>
      <c r="P51" s="6">
        <v>-80.91</v>
      </c>
      <c r="Q51" s="2"/>
      <c r="R51" s="7">
        <f t="shared" si="32"/>
        <v>-1.3738981794227478E-4</v>
      </c>
      <c r="S51" s="2"/>
      <c r="T51" s="6">
        <v>50</v>
      </c>
      <c r="U51" s="2"/>
      <c r="V51" s="7">
        <f t="shared" si="33"/>
        <v>1.0001840338622307E-4</v>
      </c>
      <c r="W51" s="2"/>
      <c r="X51" s="6">
        <f t="shared" si="34"/>
        <v>-130.91</v>
      </c>
      <c r="Y51" s="2"/>
      <c r="Z51" s="7">
        <f t="shared" si="35"/>
        <v>-2.6181999999999999</v>
      </c>
    </row>
    <row r="52" spans="1:26" s="28" customFormat="1" outlineLevel="1" collapsed="1" x14ac:dyDescent="0.3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3870.06</v>
      </c>
      <c r="E52" s="1"/>
      <c r="F52" s="5">
        <f t="shared" si="28"/>
        <v>3.7245826438872025E-2</v>
      </c>
      <c r="G52" s="1"/>
      <c r="H52" s="1">
        <f>SUM(OSRRefH22_4x_0)</f>
        <v>4450</v>
      </c>
      <c r="I52" s="1"/>
      <c r="J52" s="5">
        <f t="shared" si="29"/>
        <v>5.1467101534760536E-2</v>
      </c>
      <c r="K52" s="1"/>
      <c r="L52" s="1">
        <f t="shared" si="30"/>
        <v>-579.94000000000005</v>
      </c>
      <c r="M52" s="1"/>
      <c r="N52" s="5">
        <f t="shared" si="31"/>
        <v>-0.13032359550561798</v>
      </c>
      <c r="O52" s="14"/>
      <c r="P52" s="1">
        <f>SUM(OSRRefP22_4x_0)</f>
        <v>22549.86</v>
      </c>
      <c r="Q52" s="1"/>
      <c r="R52" s="5">
        <f t="shared" si="32"/>
        <v>3.8290954888441288E-2</v>
      </c>
      <c r="S52" s="1"/>
      <c r="T52" s="1">
        <f>SUM(OSRRefT22_4x_0)</f>
        <v>26212</v>
      </c>
      <c r="U52" s="1"/>
      <c r="V52" s="5">
        <f t="shared" si="33"/>
        <v>5.2433647791193583E-2</v>
      </c>
      <c r="W52" s="1"/>
      <c r="X52" s="1">
        <f t="shared" si="34"/>
        <v>-3662.1399999999994</v>
      </c>
      <c r="Y52" s="1"/>
      <c r="Z52" s="5">
        <f t="shared" si="35"/>
        <v>-0.13971234549061495</v>
      </c>
    </row>
    <row r="53" spans="1:26" s="24" customFormat="1" hidden="1" outlineLevel="2" x14ac:dyDescent="0.3">
      <c r="A53" s="29"/>
      <c r="B53" s="11" t="str">
        <f>CONCATENATE("          ", "6381", " - ", "BANK/CREDIT CARD FEES")</f>
        <v xml:space="preserve">          6381 - BANK/CREDIT CARD FEES</v>
      </c>
      <c r="C53" s="11"/>
      <c r="D53" s="6">
        <v>3870.06</v>
      </c>
      <c r="E53" s="2"/>
      <c r="F53" s="7">
        <f t="shared" si="28"/>
        <v>3.7245826438872025E-2</v>
      </c>
      <c r="G53" s="2"/>
      <c r="H53" s="6">
        <v>4450</v>
      </c>
      <c r="I53" s="2"/>
      <c r="J53" s="7">
        <f t="shared" si="29"/>
        <v>5.1467101534760536E-2</v>
      </c>
      <c r="K53" s="2"/>
      <c r="L53" s="6">
        <f t="shared" si="30"/>
        <v>-579.94000000000005</v>
      </c>
      <c r="M53" s="2"/>
      <c r="N53" s="7">
        <f t="shared" si="31"/>
        <v>-0.13032359550561798</v>
      </c>
      <c r="O53" s="11"/>
      <c r="P53" s="6">
        <v>22549.86</v>
      </c>
      <c r="Q53" s="2"/>
      <c r="R53" s="7">
        <f t="shared" si="32"/>
        <v>3.8290954888441288E-2</v>
      </c>
      <c r="S53" s="2"/>
      <c r="T53" s="6">
        <v>26212</v>
      </c>
      <c r="U53" s="2"/>
      <c r="V53" s="7">
        <f t="shared" si="33"/>
        <v>5.2433647791193583E-2</v>
      </c>
      <c r="W53" s="2"/>
      <c r="X53" s="6">
        <f t="shared" si="34"/>
        <v>-3662.1399999999994</v>
      </c>
      <c r="Y53" s="2"/>
      <c r="Z53" s="7">
        <f t="shared" si="35"/>
        <v>-0.13971234549061495</v>
      </c>
    </row>
    <row r="54" spans="1:26" s="28" customFormat="1" outlineLevel="1" collapsed="1" x14ac:dyDescent="0.3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32782.04</v>
      </c>
      <c r="E54" s="1"/>
      <c r="F54" s="5">
        <f t="shared" si="28"/>
        <v>0.3154974786313805</v>
      </c>
      <c r="G54" s="1"/>
      <c r="H54" s="1">
        <f>SUM(OSRRefH22_5x_0)</f>
        <v>32783</v>
      </c>
      <c r="I54" s="1"/>
      <c r="J54" s="5">
        <f t="shared" si="29"/>
        <v>0.3791564021604617</v>
      </c>
      <c r="K54" s="1"/>
      <c r="L54" s="1">
        <f t="shared" si="30"/>
        <v>-0.95999999999912689</v>
      </c>
      <c r="M54" s="1"/>
      <c r="N54" s="5">
        <f t="shared" si="31"/>
        <v>-2.9283470091179176E-5</v>
      </c>
      <c r="O54" s="14"/>
      <c r="P54" s="1">
        <f>SUM(OSRRefP22_5x_0)</f>
        <v>196780.38</v>
      </c>
      <c r="Q54" s="1"/>
      <c r="R54" s="5">
        <f t="shared" si="32"/>
        <v>0.3341443651317717</v>
      </c>
      <c r="S54" s="1"/>
      <c r="T54" s="1">
        <f>SUM(OSRRefT22_5x_0)</f>
        <v>196786</v>
      </c>
      <c r="U54" s="1"/>
      <c r="V54" s="5">
        <f t="shared" si="33"/>
        <v>0.39364443057522586</v>
      </c>
      <c r="W54" s="1"/>
      <c r="X54" s="1">
        <f t="shared" si="34"/>
        <v>-5.6199999999953434</v>
      </c>
      <c r="Y54" s="1"/>
      <c r="Z54" s="5">
        <f t="shared" si="35"/>
        <v>-2.8558942201149183E-5</v>
      </c>
    </row>
    <row r="55" spans="1:26" s="24" customFormat="1" hidden="1" outlineLevel="2" x14ac:dyDescent="0.3">
      <c r="A55" s="29"/>
      <c r="B55" s="11" t="str">
        <f>CONCATENATE("          ", "6321", " - ", "BUILDING DEPRECIATION")</f>
        <v xml:space="preserve">          6321 - BUILDING DEPRECIATION</v>
      </c>
      <c r="C55" s="11"/>
      <c r="D55" s="6">
        <v>23539.4</v>
      </c>
      <c r="E55" s="2"/>
      <c r="F55" s="7">
        <f t="shared" si="28"/>
        <v>0.22654543001276059</v>
      </c>
      <c r="G55" s="2"/>
      <c r="H55" s="6"/>
      <c r="I55" s="2"/>
      <c r="J55" s="7">
        <f t="shared" si="29"/>
        <v>0</v>
      </c>
      <c r="K55" s="2"/>
      <c r="L55" s="6">
        <f t="shared" si="30"/>
        <v>23539.4</v>
      </c>
      <c r="M55" s="2"/>
      <c r="N55" s="7">
        <f t="shared" si="31"/>
        <v>0</v>
      </c>
      <c r="O55" s="11"/>
      <c r="P55" s="6">
        <v>141324.54</v>
      </c>
      <c r="Q55" s="2"/>
      <c r="R55" s="7">
        <f t="shared" si="32"/>
        <v>0.23997716995891399</v>
      </c>
      <c r="S55" s="2"/>
      <c r="T55" s="6"/>
      <c r="U55" s="2"/>
      <c r="V55" s="7">
        <f t="shared" si="33"/>
        <v>0</v>
      </c>
      <c r="W55" s="2"/>
      <c r="X55" s="6">
        <f t="shared" si="34"/>
        <v>141324.54</v>
      </c>
      <c r="Y55" s="2"/>
      <c r="Z55" s="7">
        <f t="shared" si="35"/>
        <v>0</v>
      </c>
    </row>
    <row r="56" spans="1:26" s="24" customFormat="1" hidden="1" outlineLevel="2" x14ac:dyDescent="0.3">
      <c r="A56" s="29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9242.64</v>
      </c>
      <c r="E56" s="2"/>
      <c r="F56" s="7">
        <f t="shared" si="28"/>
        <v>8.8952048618619897E-2</v>
      </c>
      <c r="G56" s="2"/>
      <c r="H56" s="6">
        <v>32783</v>
      </c>
      <c r="I56" s="2"/>
      <c r="J56" s="7">
        <f t="shared" si="29"/>
        <v>0.3791564021604617</v>
      </c>
      <c r="K56" s="2"/>
      <c r="L56" s="6">
        <f t="shared" si="30"/>
        <v>-23540.36</v>
      </c>
      <c r="M56" s="2"/>
      <c r="N56" s="7">
        <f t="shared" si="31"/>
        <v>-0.71806607082939333</v>
      </c>
      <c r="O56" s="11"/>
      <c r="P56" s="6">
        <v>55455.839999999997</v>
      </c>
      <c r="Q56" s="2"/>
      <c r="R56" s="7">
        <f t="shared" si="32"/>
        <v>9.4167195172857723E-2</v>
      </c>
      <c r="S56" s="2"/>
      <c r="T56" s="6">
        <v>196786</v>
      </c>
      <c r="U56" s="2"/>
      <c r="V56" s="7">
        <f t="shared" si="33"/>
        <v>0.39364443057522586</v>
      </c>
      <c r="W56" s="2"/>
      <c r="X56" s="6">
        <f t="shared" si="34"/>
        <v>-141330.16</v>
      </c>
      <c r="Y56" s="2"/>
      <c r="Z56" s="7">
        <f t="shared" si="35"/>
        <v>-0.71819214781539342</v>
      </c>
    </row>
    <row r="57" spans="1:26" s="28" customFormat="1" outlineLevel="1" collapsed="1" x14ac:dyDescent="0.3">
      <c r="A57" s="27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173.7</v>
      </c>
      <c r="E57" s="1"/>
      <c r="F57" s="5">
        <f t="shared" ref="F57:F72" si="36">IF(D$12=0,0,D57/D$12)</f>
        <v>1.6717053617856235E-3</v>
      </c>
      <c r="G57" s="1"/>
      <c r="H57" s="1">
        <f>SUM(OSRRefH22_6x_0)</f>
        <v>90</v>
      </c>
      <c r="I57" s="1"/>
      <c r="J57" s="5">
        <f t="shared" ref="J57:J72" si="37">IF(H$12=0,0,H57/H$12)</f>
        <v>1.0409076714895389E-3</v>
      </c>
      <c r="K57" s="1"/>
      <c r="L57" s="1">
        <f t="shared" ref="L57:L72" si="38">+D57-H57</f>
        <v>83.699999999999989</v>
      </c>
      <c r="M57" s="1"/>
      <c r="N57" s="5">
        <f t="shared" ref="N57:N72" si="39">IF(H57=0,0,L57/H57)</f>
        <v>0.92999999999999983</v>
      </c>
      <c r="O57" s="14"/>
      <c r="P57" s="1">
        <f>SUM(OSRRefP22_6x_0)</f>
        <v>314.87</v>
      </c>
      <c r="Q57" s="1"/>
      <c r="R57" s="5">
        <f t="shared" ref="R57:R72" si="40">IF(P$12=0,0,P57/P$12)</f>
        <v>5.3466730905307204E-4</v>
      </c>
      <c r="S57" s="1"/>
      <c r="T57" s="1">
        <f>SUM(OSRRefT22_6x_0)</f>
        <v>210</v>
      </c>
      <c r="U57" s="1"/>
      <c r="V57" s="5">
        <f t="shared" ref="V57:V72" si="41">IF(T$12=0,0,T57/T$12)</f>
        <v>4.2007729422213687E-4</v>
      </c>
      <c r="W57" s="1"/>
      <c r="X57" s="1">
        <f t="shared" ref="X57:X72" si="42">+P57-T57</f>
        <v>104.87</v>
      </c>
      <c r="Y57" s="1"/>
      <c r="Z57" s="5">
        <f t="shared" ref="Z57:Z72" si="43">IF(T57=0,0,X57/T57)</f>
        <v>0.49938095238095243</v>
      </c>
    </row>
    <row r="58" spans="1:26" s="24" customFormat="1" hidden="1" outlineLevel="2" x14ac:dyDescent="0.3">
      <c r="A58" s="29"/>
      <c r="B58" s="11" t="str">
        <f>CONCATENATE("          ", "6277", " - ", "EMPLOYEE APPRECIATION")</f>
        <v xml:space="preserve">          6277 - EMPLOYEE APPRECIATION</v>
      </c>
      <c r="C58" s="11"/>
      <c r="D58" s="6">
        <v>173.7</v>
      </c>
      <c r="E58" s="2"/>
      <c r="F58" s="7">
        <f t="shared" si="36"/>
        <v>1.6717053617856235E-3</v>
      </c>
      <c r="G58" s="2"/>
      <c r="H58" s="6">
        <v>90</v>
      </c>
      <c r="I58" s="2"/>
      <c r="J58" s="7">
        <f t="shared" si="37"/>
        <v>1.0409076714895389E-3</v>
      </c>
      <c r="K58" s="2"/>
      <c r="L58" s="6">
        <f t="shared" si="38"/>
        <v>83.699999999999989</v>
      </c>
      <c r="M58" s="2"/>
      <c r="N58" s="7">
        <f t="shared" si="39"/>
        <v>0.92999999999999983</v>
      </c>
      <c r="O58" s="11"/>
      <c r="P58" s="6">
        <v>314.87</v>
      </c>
      <c r="Q58" s="2"/>
      <c r="R58" s="7">
        <f t="shared" si="40"/>
        <v>5.3466730905307204E-4</v>
      </c>
      <c r="S58" s="2"/>
      <c r="T58" s="6">
        <v>210</v>
      </c>
      <c r="U58" s="2"/>
      <c r="V58" s="7">
        <f t="shared" si="41"/>
        <v>4.2007729422213687E-4</v>
      </c>
      <c r="W58" s="2"/>
      <c r="X58" s="6">
        <f t="shared" si="42"/>
        <v>104.87</v>
      </c>
      <c r="Y58" s="2"/>
      <c r="Z58" s="7">
        <f t="shared" si="43"/>
        <v>0.49938095238095243</v>
      </c>
    </row>
    <row r="59" spans="1:26" s="28" customFormat="1" outlineLevel="1" collapsed="1" x14ac:dyDescent="0.3">
      <c r="A59" s="27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1716.76</v>
      </c>
      <c r="E59" s="1"/>
      <c r="F59" s="5">
        <f t="shared" si="36"/>
        <v>1.6522261928031592E-2</v>
      </c>
      <c r="G59" s="1"/>
      <c r="H59" s="1">
        <f>SUM(OSRRefH22_7x_0)</f>
        <v>775</v>
      </c>
      <c r="I59" s="1"/>
      <c r="J59" s="5">
        <f t="shared" si="37"/>
        <v>8.9633716156043621E-3</v>
      </c>
      <c r="K59" s="1"/>
      <c r="L59" s="1">
        <f t="shared" si="38"/>
        <v>941.76</v>
      </c>
      <c r="M59" s="1"/>
      <c r="N59" s="5">
        <f t="shared" si="39"/>
        <v>1.2151741935483871</v>
      </c>
      <c r="O59" s="14"/>
      <c r="P59" s="1">
        <f>SUM(OSRRefP22_7x_0)</f>
        <v>5368.15</v>
      </c>
      <c r="Q59" s="1"/>
      <c r="R59" s="5">
        <f t="shared" si="40"/>
        <v>9.1154264143718002E-3</v>
      </c>
      <c r="S59" s="1"/>
      <c r="T59" s="1">
        <f>SUM(OSRRefT22_7x_0)</f>
        <v>4650</v>
      </c>
      <c r="U59" s="1"/>
      <c r="V59" s="5">
        <f t="shared" si="41"/>
        <v>9.3017115149187455E-3</v>
      </c>
      <c r="W59" s="1"/>
      <c r="X59" s="1">
        <f t="shared" si="42"/>
        <v>718.14999999999964</v>
      </c>
      <c r="Y59" s="1"/>
      <c r="Z59" s="5">
        <f t="shared" si="43"/>
        <v>0.15444086021505368</v>
      </c>
    </row>
    <row r="60" spans="1:26" s="24" customFormat="1" hidden="1" outlineLevel="2" x14ac:dyDescent="0.3">
      <c r="A60" s="29"/>
      <c r="B60" s="11" t="str">
        <f>CONCATENATE("          ", "6351", " - ", "EQUIPMENT RENTAL")</f>
        <v xml:space="preserve">          6351 - EQUIPMENT RENTAL</v>
      </c>
      <c r="C60" s="11"/>
      <c r="D60" s="6">
        <v>1716.76</v>
      </c>
      <c r="E60" s="2"/>
      <c r="F60" s="7">
        <f t="shared" si="36"/>
        <v>1.6522261928031592E-2</v>
      </c>
      <c r="G60" s="2"/>
      <c r="H60" s="6">
        <v>775</v>
      </c>
      <c r="I60" s="2"/>
      <c r="J60" s="7">
        <f t="shared" si="37"/>
        <v>8.9633716156043621E-3</v>
      </c>
      <c r="K60" s="2"/>
      <c r="L60" s="6">
        <f t="shared" si="38"/>
        <v>941.76</v>
      </c>
      <c r="M60" s="2"/>
      <c r="N60" s="7">
        <f t="shared" si="39"/>
        <v>1.2151741935483871</v>
      </c>
      <c r="O60" s="11"/>
      <c r="P60" s="6">
        <v>5368.15</v>
      </c>
      <c r="Q60" s="2"/>
      <c r="R60" s="7">
        <f t="shared" si="40"/>
        <v>9.1154264143718002E-3</v>
      </c>
      <c r="S60" s="2"/>
      <c r="T60" s="6">
        <v>4650</v>
      </c>
      <c r="U60" s="2"/>
      <c r="V60" s="7">
        <f t="shared" si="41"/>
        <v>9.3017115149187455E-3</v>
      </c>
      <c r="W60" s="2"/>
      <c r="X60" s="6">
        <f t="shared" si="42"/>
        <v>718.14999999999964</v>
      </c>
      <c r="Y60" s="2"/>
      <c r="Z60" s="7">
        <f t="shared" si="43"/>
        <v>0.15444086021505368</v>
      </c>
    </row>
    <row r="61" spans="1:26" s="28" customFormat="1" outlineLevel="1" collapsed="1" x14ac:dyDescent="0.3">
      <c r="A61" s="27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710</v>
      </c>
      <c r="E61" s="1"/>
      <c r="F61" s="5">
        <f t="shared" si="36"/>
        <v>6.8331076964179204E-3</v>
      </c>
      <c r="G61" s="1"/>
      <c r="H61" s="1">
        <f>SUM(OSRRefH22_8x_0)</f>
        <v>1955</v>
      </c>
      <c r="I61" s="1"/>
      <c r="J61" s="5">
        <f t="shared" si="37"/>
        <v>2.261082775291165E-2</v>
      </c>
      <c r="K61" s="1"/>
      <c r="L61" s="1">
        <f t="shared" si="38"/>
        <v>-1245</v>
      </c>
      <c r="M61" s="1"/>
      <c r="N61" s="5">
        <f t="shared" si="39"/>
        <v>-0.63682864450127874</v>
      </c>
      <c r="O61" s="14"/>
      <c r="P61" s="1">
        <f>SUM(OSRRefP22_8x_0)</f>
        <v>14800.26</v>
      </c>
      <c r="Q61" s="1"/>
      <c r="R61" s="5">
        <f t="shared" si="40"/>
        <v>2.5131689864025853E-2</v>
      </c>
      <c r="S61" s="1"/>
      <c r="T61" s="1">
        <f>SUM(OSRRefT22_8x_0)</f>
        <v>5190</v>
      </c>
      <c r="U61" s="1"/>
      <c r="V61" s="5">
        <f t="shared" si="41"/>
        <v>1.0381910271489955E-2</v>
      </c>
      <c r="W61" s="1"/>
      <c r="X61" s="1">
        <f t="shared" si="42"/>
        <v>9610.26</v>
      </c>
      <c r="Y61" s="1"/>
      <c r="Z61" s="5">
        <f t="shared" si="43"/>
        <v>1.8516878612716763</v>
      </c>
    </row>
    <row r="62" spans="1:26" s="24" customFormat="1" hidden="1" outlineLevel="2" x14ac:dyDescent="0.3">
      <c r="A62" s="29"/>
      <c r="B62" s="11" t="str">
        <f>CONCATENATE("          ", "6279", " - ", "GENERAL EXPENSE")</f>
        <v xml:space="preserve">          6279 - GENERAL EXPENSE</v>
      </c>
      <c r="C62" s="11"/>
      <c r="D62" s="6">
        <v>710</v>
      </c>
      <c r="E62" s="2"/>
      <c r="F62" s="7">
        <f t="shared" si="36"/>
        <v>6.8331076964179204E-3</v>
      </c>
      <c r="G62" s="2"/>
      <c r="H62" s="6">
        <v>1955</v>
      </c>
      <c r="I62" s="2"/>
      <c r="J62" s="7">
        <f t="shared" si="37"/>
        <v>2.261082775291165E-2</v>
      </c>
      <c r="K62" s="2"/>
      <c r="L62" s="6">
        <f t="shared" si="38"/>
        <v>-1245</v>
      </c>
      <c r="M62" s="2"/>
      <c r="N62" s="7">
        <f t="shared" si="39"/>
        <v>-0.63682864450127874</v>
      </c>
      <c r="O62" s="11"/>
      <c r="P62" s="6">
        <v>14800.26</v>
      </c>
      <c r="Q62" s="2"/>
      <c r="R62" s="7">
        <f t="shared" si="40"/>
        <v>2.5131689864025853E-2</v>
      </c>
      <c r="S62" s="2"/>
      <c r="T62" s="6">
        <v>5190</v>
      </c>
      <c r="U62" s="2"/>
      <c r="V62" s="7">
        <f t="shared" si="41"/>
        <v>1.0381910271489955E-2</v>
      </c>
      <c r="W62" s="2"/>
      <c r="X62" s="6">
        <f t="shared" si="42"/>
        <v>9610.26</v>
      </c>
      <c r="Y62" s="2"/>
      <c r="Z62" s="7">
        <f t="shared" si="43"/>
        <v>1.8516878612716763</v>
      </c>
    </row>
    <row r="63" spans="1:26" s="28" customFormat="1" outlineLevel="1" collapsed="1" x14ac:dyDescent="0.3">
      <c r="A63" s="27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SUM(OSRRefD22_9x_0)</f>
        <v>5756.21</v>
      </c>
      <c r="E63" s="1"/>
      <c r="F63" s="5">
        <f t="shared" si="36"/>
        <v>5.5398313877743383E-2</v>
      </c>
      <c r="G63" s="1"/>
      <c r="H63" s="1">
        <f>SUM(OSRRefH22_9x_0)</f>
        <v>5670</v>
      </c>
      <c r="I63" s="1"/>
      <c r="J63" s="5">
        <f t="shared" si="37"/>
        <v>6.557718330384095E-2</v>
      </c>
      <c r="K63" s="1"/>
      <c r="L63" s="1">
        <f t="shared" si="38"/>
        <v>86.210000000000036</v>
      </c>
      <c r="M63" s="1"/>
      <c r="N63" s="5">
        <f t="shared" si="39"/>
        <v>1.5204585537918877E-2</v>
      </c>
      <c r="O63" s="14"/>
      <c r="P63" s="1">
        <f>SUM(OSRRefP22_9x_0)</f>
        <v>41420.26</v>
      </c>
      <c r="Q63" s="1"/>
      <c r="R63" s="5">
        <f t="shared" si="40"/>
        <v>7.0333975782000818E-2</v>
      </c>
      <c r="S63" s="1"/>
      <c r="T63" s="1">
        <f>SUM(OSRRefT22_9x_0)</f>
        <v>34020</v>
      </c>
      <c r="U63" s="1"/>
      <c r="V63" s="5">
        <f t="shared" si="41"/>
        <v>6.8052521663986176E-2</v>
      </c>
      <c r="W63" s="1"/>
      <c r="X63" s="1">
        <f t="shared" si="42"/>
        <v>7400.260000000002</v>
      </c>
      <c r="Y63" s="1"/>
      <c r="Z63" s="5">
        <f t="shared" si="43"/>
        <v>0.21752674897119348</v>
      </c>
    </row>
    <row r="64" spans="1:26" s="24" customFormat="1" hidden="1" outlineLevel="2" x14ac:dyDescent="0.3">
      <c r="A64" s="29"/>
      <c r="B64" s="11" t="str">
        <f>CONCATENATE("          ", "6314", " - ", "LIABILITY INSURANCE")</f>
        <v xml:space="preserve">          6314 - LIABILITY INSURANCE</v>
      </c>
      <c r="C64" s="11"/>
      <c r="D64" s="6">
        <v>5756.21</v>
      </c>
      <c r="E64" s="2"/>
      <c r="F64" s="7">
        <f t="shared" si="36"/>
        <v>5.5398313877743383E-2</v>
      </c>
      <c r="G64" s="2"/>
      <c r="H64" s="6">
        <v>5670</v>
      </c>
      <c r="I64" s="2"/>
      <c r="J64" s="7">
        <f t="shared" si="37"/>
        <v>6.557718330384095E-2</v>
      </c>
      <c r="K64" s="2"/>
      <c r="L64" s="6">
        <f t="shared" si="38"/>
        <v>86.210000000000036</v>
      </c>
      <c r="M64" s="2"/>
      <c r="N64" s="7">
        <f t="shared" si="39"/>
        <v>1.5204585537918877E-2</v>
      </c>
      <c r="O64" s="11"/>
      <c r="P64" s="6">
        <v>41420.26</v>
      </c>
      <c r="Q64" s="2"/>
      <c r="R64" s="7">
        <f t="shared" si="40"/>
        <v>7.0333975782000818E-2</v>
      </c>
      <c r="S64" s="2"/>
      <c r="T64" s="6">
        <v>34020</v>
      </c>
      <c r="U64" s="2"/>
      <c r="V64" s="7">
        <f t="shared" si="41"/>
        <v>6.8052521663986176E-2</v>
      </c>
      <c r="W64" s="2"/>
      <c r="X64" s="6">
        <f t="shared" si="42"/>
        <v>7400.260000000002</v>
      </c>
      <c r="Y64" s="2"/>
      <c r="Z64" s="7">
        <f t="shared" si="43"/>
        <v>0.21752674897119348</v>
      </c>
    </row>
    <row r="65" spans="1:26" s="28" customFormat="1" outlineLevel="1" collapsed="1" x14ac:dyDescent="0.3">
      <c r="A65" s="27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SUM(OSRRefD22_10x_0)</f>
        <v>7253</v>
      </c>
      <c r="E65" s="1"/>
      <c r="F65" s="5">
        <f t="shared" si="36"/>
        <v>6.980356355228054E-2</v>
      </c>
      <c r="G65" s="1"/>
      <c r="H65" s="1">
        <f>SUM(OSRRefH22_10x_0)</f>
        <v>7253</v>
      </c>
      <c r="I65" s="1"/>
      <c r="J65" s="5">
        <f t="shared" si="37"/>
        <v>8.38855926812625E-2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SUM(OSRRefP22_10x_0)</f>
        <v>43004</v>
      </c>
      <c r="Q65" s="1"/>
      <c r="R65" s="5">
        <f t="shared" si="40"/>
        <v>7.3023257085521986E-2</v>
      </c>
      <c r="S65" s="1"/>
      <c r="T65" s="1">
        <f>SUM(OSRRefT22_10x_0)</f>
        <v>43518</v>
      </c>
      <c r="U65" s="1"/>
      <c r="V65" s="5">
        <f t="shared" si="41"/>
        <v>8.7052017571233112E-2</v>
      </c>
      <c r="W65" s="1"/>
      <c r="X65" s="1">
        <f t="shared" si="42"/>
        <v>-514</v>
      </c>
      <c r="Y65" s="1"/>
      <c r="Z65" s="5">
        <f t="shared" si="43"/>
        <v>-1.1811204559033044E-2</v>
      </c>
    </row>
    <row r="66" spans="1:26" s="24" customFormat="1" hidden="1" outlineLevel="2" x14ac:dyDescent="0.3">
      <c r="A66" s="29"/>
      <c r="B66" s="11" t="str">
        <f>CONCATENATE("          ", "6401", " - ", "INTEREST EXPENSE")</f>
        <v xml:space="preserve">          6401 - INTEREST EXPENSE</v>
      </c>
      <c r="C66" s="11"/>
      <c r="D66" s="6">
        <v>7253</v>
      </c>
      <c r="E66" s="2"/>
      <c r="F66" s="7">
        <f t="shared" si="36"/>
        <v>6.980356355228054E-2</v>
      </c>
      <c r="G66" s="2"/>
      <c r="H66" s="6">
        <v>7253</v>
      </c>
      <c r="I66" s="2"/>
      <c r="J66" s="7">
        <f t="shared" si="37"/>
        <v>8.38855926812625E-2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43004</v>
      </c>
      <c r="Q66" s="2"/>
      <c r="R66" s="7">
        <f t="shared" si="40"/>
        <v>7.3023257085521986E-2</v>
      </c>
      <c r="S66" s="2"/>
      <c r="T66" s="6">
        <v>43518</v>
      </c>
      <c r="U66" s="2"/>
      <c r="V66" s="7">
        <f t="shared" si="41"/>
        <v>8.7052017571233112E-2</v>
      </c>
      <c r="W66" s="2"/>
      <c r="X66" s="6">
        <f t="shared" si="42"/>
        <v>-514</v>
      </c>
      <c r="Y66" s="2"/>
      <c r="Z66" s="7">
        <f t="shared" si="43"/>
        <v>-1.1811204559033044E-2</v>
      </c>
    </row>
    <row r="67" spans="1:26" s="28" customFormat="1" outlineLevel="1" collapsed="1" x14ac:dyDescent="0.3">
      <c r="A67" s="27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SUM(OSRRefD22_11x_0)</f>
        <v>1850</v>
      </c>
      <c r="E67" s="1"/>
      <c r="F67" s="5">
        <f t="shared" si="36"/>
        <v>1.7804576392074865E-2</v>
      </c>
      <c r="G67" s="1"/>
      <c r="H67" s="1">
        <f>SUM(OSRRefH22_11x_0)</f>
        <v>1850</v>
      </c>
      <c r="I67" s="1"/>
      <c r="J67" s="5">
        <f t="shared" si="37"/>
        <v>2.1396435469507188E-2</v>
      </c>
      <c r="K67" s="1"/>
      <c r="L67" s="1">
        <f t="shared" si="38"/>
        <v>0</v>
      </c>
      <c r="M67" s="1"/>
      <c r="N67" s="5">
        <f t="shared" si="39"/>
        <v>0</v>
      </c>
      <c r="O67" s="14"/>
      <c r="P67" s="1">
        <f>SUM(OSRRefP22_11x_0)</f>
        <v>11100</v>
      </c>
      <c r="Q67" s="1"/>
      <c r="R67" s="5">
        <f t="shared" si="40"/>
        <v>1.8848436276841553E-2</v>
      </c>
      <c r="S67" s="1"/>
      <c r="T67" s="1">
        <f>SUM(OSRRefT22_11x_0)</f>
        <v>11100</v>
      </c>
      <c r="U67" s="1"/>
      <c r="V67" s="5">
        <f t="shared" si="41"/>
        <v>2.2204085551741519E-2</v>
      </c>
      <c r="W67" s="1"/>
      <c r="X67" s="1">
        <f t="shared" si="42"/>
        <v>0</v>
      </c>
      <c r="Y67" s="1"/>
      <c r="Z67" s="5">
        <f t="shared" si="43"/>
        <v>0</v>
      </c>
    </row>
    <row r="68" spans="1:26" s="24" customFormat="1" hidden="1" outlineLevel="2" x14ac:dyDescent="0.3">
      <c r="A68" s="29"/>
      <c r="B68" s="11" t="str">
        <f>CONCATENATE("          ", "6273", " - ", "RENT")</f>
        <v xml:space="preserve">          6273 - RENT</v>
      </c>
      <c r="C68" s="11"/>
      <c r="D68" s="6">
        <v>1850</v>
      </c>
      <c r="E68" s="2"/>
      <c r="F68" s="7">
        <f t="shared" si="36"/>
        <v>1.7804576392074865E-2</v>
      </c>
      <c r="G68" s="2"/>
      <c r="H68" s="6">
        <v>1850</v>
      </c>
      <c r="I68" s="2"/>
      <c r="J68" s="7">
        <f t="shared" si="37"/>
        <v>2.1396435469507188E-2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11100</v>
      </c>
      <c r="Q68" s="2"/>
      <c r="R68" s="7">
        <f t="shared" si="40"/>
        <v>1.8848436276841553E-2</v>
      </c>
      <c r="S68" s="2"/>
      <c r="T68" s="6">
        <v>11100</v>
      </c>
      <c r="U68" s="2"/>
      <c r="V68" s="7">
        <f t="shared" si="41"/>
        <v>2.2204085551741519E-2</v>
      </c>
      <c r="W68" s="2"/>
      <c r="X68" s="6">
        <f t="shared" si="42"/>
        <v>0</v>
      </c>
      <c r="Y68" s="2"/>
      <c r="Z68" s="7">
        <f t="shared" si="43"/>
        <v>0</v>
      </c>
    </row>
    <row r="69" spans="1:26" s="28" customFormat="1" outlineLevel="1" collapsed="1" x14ac:dyDescent="0.3">
      <c r="A69" s="27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SUM(OSRRefD22_12x_0)</f>
        <v>10702.599999999999</v>
      </c>
      <c r="E69" s="1"/>
      <c r="F69" s="5">
        <f t="shared" si="36"/>
        <v>0.10300284286152454</v>
      </c>
      <c r="G69" s="1"/>
      <c r="H69" s="1">
        <f>SUM(OSRRefH22_12x_0)</f>
        <v>3286</v>
      </c>
      <c r="I69" s="1"/>
      <c r="J69" s="5">
        <f t="shared" si="37"/>
        <v>3.8004695650162498E-2</v>
      </c>
      <c r="K69" s="1"/>
      <c r="L69" s="1">
        <f t="shared" si="38"/>
        <v>7416.5999999999985</v>
      </c>
      <c r="M69" s="1"/>
      <c r="N69" s="5">
        <f t="shared" si="39"/>
        <v>2.2570298234936086</v>
      </c>
      <c r="O69" s="14"/>
      <c r="P69" s="1">
        <f>SUM(OSRRefP22_12x_0)</f>
        <v>52888.01</v>
      </c>
      <c r="Q69" s="1"/>
      <c r="R69" s="5">
        <f t="shared" si="40"/>
        <v>8.9806872639095384E-2</v>
      </c>
      <c r="S69" s="1"/>
      <c r="T69" s="1">
        <f>SUM(OSRRefT22_12x_0)</f>
        <v>25164</v>
      </c>
      <c r="U69" s="1"/>
      <c r="V69" s="5">
        <f t="shared" si="41"/>
        <v>5.0337262056218343E-2</v>
      </c>
      <c r="W69" s="1"/>
      <c r="X69" s="1">
        <f t="shared" si="42"/>
        <v>27724.010000000002</v>
      </c>
      <c r="Y69" s="1"/>
      <c r="Z69" s="5">
        <f t="shared" si="43"/>
        <v>1.1017330313145766</v>
      </c>
    </row>
    <row r="70" spans="1:26" s="24" customFormat="1" hidden="1" outlineLevel="2" x14ac:dyDescent="0.3">
      <c r="A70" s="29"/>
      <c r="B70" s="11" t="str">
        <f>CONCATENATE("          ", "6371", " - ", "COMPUTER SOFTWARE MAINTENANCE")</f>
        <v xml:space="preserve">          6371 - COMPUTER SOFTWARE MAINTENANCE</v>
      </c>
      <c r="C70" s="11"/>
      <c r="D70" s="6">
        <v>618.36</v>
      </c>
      <c r="E70" s="2"/>
      <c r="F70" s="7">
        <f t="shared" si="36"/>
        <v>5.9511555988126554E-3</v>
      </c>
      <c r="G70" s="2"/>
      <c r="H70" s="6"/>
      <c r="I70" s="2"/>
      <c r="J70" s="7">
        <f t="shared" si="37"/>
        <v>0</v>
      </c>
      <c r="K70" s="2"/>
      <c r="L70" s="6">
        <f t="shared" si="38"/>
        <v>618.36</v>
      </c>
      <c r="M70" s="2"/>
      <c r="N70" s="7">
        <f t="shared" si="39"/>
        <v>0</v>
      </c>
      <c r="O70" s="11"/>
      <c r="P70" s="6">
        <v>6336.08</v>
      </c>
      <c r="Q70" s="2"/>
      <c r="R70" s="7">
        <f t="shared" si="40"/>
        <v>1.0759027038285605E-2</v>
      </c>
      <c r="S70" s="2"/>
      <c r="T70" s="6"/>
      <c r="U70" s="2"/>
      <c r="V70" s="7">
        <f t="shared" si="41"/>
        <v>0</v>
      </c>
      <c r="W70" s="2"/>
      <c r="X70" s="6">
        <f t="shared" si="42"/>
        <v>6336.08</v>
      </c>
      <c r="Y70" s="2"/>
      <c r="Z70" s="7">
        <f t="shared" si="43"/>
        <v>0</v>
      </c>
    </row>
    <row r="71" spans="1:26" s="24" customFormat="1" hidden="1" outlineLevel="2" x14ac:dyDescent="0.3">
      <c r="A71" s="29"/>
      <c r="B71" s="11" t="str">
        <f>CONCATENATE("          ", "6373", " - ", "MAINTENANCE CONTRACTS")</f>
        <v xml:space="preserve">          6373 - MAINTENANCE CONTRACTS</v>
      </c>
      <c r="C71" s="11"/>
      <c r="D71" s="6">
        <v>4447.13</v>
      </c>
      <c r="E71" s="2"/>
      <c r="F71" s="7">
        <f t="shared" si="36"/>
        <v>4.2799603140804263E-2</v>
      </c>
      <c r="G71" s="2"/>
      <c r="H71" s="6">
        <v>1125</v>
      </c>
      <c r="I71" s="2"/>
      <c r="J71" s="7">
        <f t="shared" si="37"/>
        <v>1.3011345893619236E-2</v>
      </c>
      <c r="K71" s="2"/>
      <c r="L71" s="6">
        <f t="shared" si="38"/>
        <v>3322.13</v>
      </c>
      <c r="M71" s="2"/>
      <c r="N71" s="7">
        <f t="shared" si="39"/>
        <v>2.9530044444444443</v>
      </c>
      <c r="O71" s="11"/>
      <c r="P71" s="6">
        <v>11106.63</v>
      </c>
      <c r="Q71" s="2"/>
      <c r="R71" s="7">
        <f t="shared" si="40"/>
        <v>1.8859694396887988E-2</v>
      </c>
      <c r="S71" s="2"/>
      <c r="T71" s="6">
        <v>3585</v>
      </c>
      <c r="U71" s="2"/>
      <c r="V71" s="7">
        <f t="shared" si="41"/>
        <v>7.1713195227921939E-3</v>
      </c>
      <c r="W71" s="2"/>
      <c r="X71" s="6">
        <f t="shared" si="42"/>
        <v>7521.6299999999992</v>
      </c>
      <c r="Y71" s="2"/>
      <c r="Z71" s="7">
        <f t="shared" si="43"/>
        <v>2.0980836820083679</v>
      </c>
    </row>
    <row r="72" spans="1:26" s="24" customFormat="1" hidden="1" outlineLevel="2" x14ac:dyDescent="0.3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6">
        <v>5637.11</v>
      </c>
      <c r="E72" s="2"/>
      <c r="F72" s="7">
        <f t="shared" si="36"/>
        <v>5.4252084121907636E-2</v>
      </c>
      <c r="G72" s="2"/>
      <c r="H72" s="6">
        <v>2161</v>
      </c>
      <c r="I72" s="2"/>
      <c r="J72" s="7">
        <f t="shared" si="37"/>
        <v>2.499334975654326E-2</v>
      </c>
      <c r="K72" s="2"/>
      <c r="L72" s="6">
        <f t="shared" si="38"/>
        <v>3476.1099999999997</v>
      </c>
      <c r="M72" s="2"/>
      <c r="N72" s="7">
        <f t="shared" si="39"/>
        <v>1.6085654789449328</v>
      </c>
      <c r="O72" s="11"/>
      <c r="P72" s="6">
        <v>35445.300000000003</v>
      </c>
      <c r="Q72" s="2"/>
      <c r="R72" s="7">
        <f t="shared" si="40"/>
        <v>6.0188151203921798E-2</v>
      </c>
      <c r="S72" s="2"/>
      <c r="T72" s="6">
        <v>21579</v>
      </c>
      <c r="U72" s="2"/>
      <c r="V72" s="7">
        <f t="shared" si="41"/>
        <v>4.3165942533426149E-2</v>
      </c>
      <c r="W72" s="2"/>
      <c r="X72" s="6">
        <f t="shared" si="42"/>
        <v>13866.300000000003</v>
      </c>
      <c r="Y72" s="2"/>
      <c r="Z72" s="7">
        <f t="shared" si="43"/>
        <v>0.64258306687056876</v>
      </c>
    </row>
    <row r="73" spans="1:26" s="28" customFormat="1" outlineLevel="1" collapsed="1" x14ac:dyDescent="0.3">
      <c r="A73" s="27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1">
        <f>SUM(OSRRefD22_13x_0)</f>
        <v>412.47</v>
      </c>
      <c r="E73" s="1"/>
      <c r="F73" s="5">
        <f t="shared" ref="F73:F80" si="44">IF(D$12=0,0,D73/D$12)</f>
        <v>3.9696506078049296E-3</v>
      </c>
      <c r="G73" s="1"/>
      <c r="H73" s="1">
        <f>SUM(OSRRefH22_13x_0)</f>
        <v>0</v>
      </c>
      <c r="I73" s="1"/>
      <c r="J73" s="5">
        <f t="shared" ref="J73:J80" si="45">IF(H$12=0,0,H73/H$12)</f>
        <v>0</v>
      </c>
      <c r="K73" s="1"/>
      <c r="L73" s="1">
        <f t="shared" ref="L73:L80" si="46">+D73-H73</f>
        <v>412.47</v>
      </c>
      <c r="M73" s="1"/>
      <c r="N73" s="5">
        <f t="shared" ref="N73:N80" si="47">IF(H73=0,0,L73/H73)</f>
        <v>0</v>
      </c>
      <c r="O73" s="14"/>
      <c r="P73" s="1">
        <f>SUM(OSRRefP22_13x_0)</f>
        <v>1844.91</v>
      </c>
      <c r="Q73" s="1"/>
      <c r="R73" s="5">
        <f t="shared" ref="R73:R80" si="48">IF(P$12=0,0,P73/P$12)</f>
        <v>3.1327629343700677E-3</v>
      </c>
      <c r="S73" s="1"/>
      <c r="T73" s="1">
        <f>SUM(OSRRefT22_13x_0)</f>
        <v>0</v>
      </c>
      <c r="U73" s="1"/>
      <c r="V73" s="5">
        <f t="shared" ref="V73:V80" si="49">IF(T$12=0,0,T73/T$12)</f>
        <v>0</v>
      </c>
      <c r="W73" s="1"/>
      <c r="X73" s="1">
        <f t="shared" ref="X73:X80" si="50">+P73-T73</f>
        <v>1844.91</v>
      </c>
      <c r="Y73" s="1"/>
      <c r="Z73" s="5">
        <f t="shared" ref="Z73:Z80" si="51">IF(T73=0,0,X73/T73)</f>
        <v>0</v>
      </c>
    </row>
    <row r="74" spans="1:26" s="24" customFormat="1" hidden="1" outlineLevel="2" x14ac:dyDescent="0.3">
      <c r="A74" s="29"/>
      <c r="B74" s="11" t="str">
        <f>CONCATENATE("          ", "6254", " - ", "ROYALTY &amp; COMMISSIONS")</f>
        <v xml:space="preserve">          6254 - ROYALTY &amp; COMMISSIONS</v>
      </c>
      <c r="C74" s="11"/>
      <c r="D74" s="6">
        <v>412.47</v>
      </c>
      <c r="E74" s="2"/>
      <c r="F74" s="7">
        <f t="shared" si="44"/>
        <v>3.9696506078049296E-3</v>
      </c>
      <c r="G74" s="2"/>
      <c r="H74" s="6"/>
      <c r="I74" s="2"/>
      <c r="J74" s="7">
        <f t="shared" si="45"/>
        <v>0</v>
      </c>
      <c r="K74" s="2"/>
      <c r="L74" s="6">
        <f t="shared" si="46"/>
        <v>412.47</v>
      </c>
      <c r="M74" s="2"/>
      <c r="N74" s="7">
        <f t="shared" si="47"/>
        <v>0</v>
      </c>
      <c r="O74" s="11"/>
      <c r="P74" s="6">
        <v>1844.91</v>
      </c>
      <c r="Q74" s="2"/>
      <c r="R74" s="7">
        <f t="shared" si="48"/>
        <v>3.1327629343700677E-3</v>
      </c>
      <c r="S74" s="2"/>
      <c r="T74" s="6"/>
      <c r="U74" s="2"/>
      <c r="V74" s="7">
        <f t="shared" si="49"/>
        <v>0</v>
      </c>
      <c r="W74" s="2"/>
      <c r="X74" s="6">
        <f t="shared" si="50"/>
        <v>1844.91</v>
      </c>
      <c r="Y74" s="2"/>
      <c r="Z74" s="7">
        <f t="shared" si="51"/>
        <v>0</v>
      </c>
    </row>
    <row r="75" spans="1:26" s="28" customFormat="1" outlineLevel="1" collapsed="1" x14ac:dyDescent="0.3">
      <c r="A75" s="27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SUM(OSRRefD22_14x_0)</f>
        <v>2192.15</v>
      </c>
      <c r="E75" s="1"/>
      <c r="F75" s="5">
        <f t="shared" si="44"/>
        <v>2.1097460615074008E-2</v>
      </c>
      <c r="G75" s="1"/>
      <c r="H75" s="1">
        <f>SUM(OSRRefH22_14x_0)</f>
        <v>10995</v>
      </c>
      <c r="I75" s="1"/>
      <c r="J75" s="5">
        <f t="shared" si="45"/>
        <v>0.12716422053363866</v>
      </c>
      <c r="K75" s="1"/>
      <c r="L75" s="1">
        <f t="shared" si="46"/>
        <v>-8802.85</v>
      </c>
      <c r="M75" s="1"/>
      <c r="N75" s="5">
        <f t="shared" si="47"/>
        <v>-0.80062301045929973</v>
      </c>
      <c r="O75" s="14"/>
      <c r="P75" s="1">
        <f>SUM(OSRRefP22_14x_0)</f>
        <v>41917.060000000005</v>
      </c>
      <c r="Q75" s="1"/>
      <c r="R75" s="5">
        <f t="shared" si="48"/>
        <v>7.1177570659688646E-2</v>
      </c>
      <c r="S75" s="1"/>
      <c r="T75" s="1">
        <f>SUM(OSRRefT22_14x_0)</f>
        <v>62001</v>
      </c>
      <c r="U75" s="1"/>
      <c r="V75" s="5">
        <f t="shared" si="49"/>
        <v>0.12402482056698433</v>
      </c>
      <c r="W75" s="1"/>
      <c r="X75" s="1">
        <f t="shared" si="50"/>
        <v>-20083.939999999995</v>
      </c>
      <c r="Y75" s="1"/>
      <c r="Z75" s="5">
        <f t="shared" si="51"/>
        <v>-0.32392929146304084</v>
      </c>
    </row>
    <row r="76" spans="1:26" s="24" customFormat="1" hidden="1" outlineLevel="2" x14ac:dyDescent="0.3">
      <c r="A76" s="29"/>
      <c r="B76" s="11" t="str">
        <f>CONCATENATE("          ", "6282", " - ", "JANITORIAL/EXTERMINATOR EXPENS")</f>
        <v xml:space="preserve">          6282 - JANITORIAL/EXTERMINATOR EXPENS</v>
      </c>
      <c r="C76" s="11"/>
      <c r="D76" s="6">
        <v>1409.65</v>
      </c>
      <c r="E76" s="2"/>
      <c r="F76" s="7">
        <f t="shared" si="44"/>
        <v>1.3566606005993694E-2</v>
      </c>
      <c r="G76" s="2"/>
      <c r="H76" s="6">
        <v>1128</v>
      </c>
      <c r="I76" s="2"/>
      <c r="J76" s="7">
        <f t="shared" si="45"/>
        <v>1.3046042816002221E-2</v>
      </c>
      <c r="K76" s="2"/>
      <c r="L76" s="6">
        <f t="shared" si="46"/>
        <v>281.65000000000009</v>
      </c>
      <c r="M76" s="2"/>
      <c r="N76" s="7">
        <f t="shared" si="47"/>
        <v>0.24968971631205683</v>
      </c>
      <c r="O76" s="11"/>
      <c r="P76" s="6">
        <v>6581.76</v>
      </c>
      <c r="Q76" s="2"/>
      <c r="R76" s="7">
        <f t="shared" si="48"/>
        <v>1.1176205761213032E-2</v>
      </c>
      <c r="S76" s="2"/>
      <c r="T76" s="6">
        <v>6668</v>
      </c>
      <c r="U76" s="2"/>
      <c r="V76" s="7">
        <f t="shared" si="49"/>
        <v>1.3338454275586708E-2</v>
      </c>
      <c r="W76" s="2"/>
      <c r="X76" s="6">
        <f t="shared" si="50"/>
        <v>-86.239999999999782</v>
      </c>
      <c r="Y76" s="2"/>
      <c r="Z76" s="7">
        <f t="shared" si="51"/>
        <v>-1.29334133173365E-2</v>
      </c>
    </row>
    <row r="77" spans="1:26" s="24" customFormat="1" hidden="1" outlineLevel="2" x14ac:dyDescent="0.3">
      <c r="A77" s="29"/>
      <c r="B77" s="11" t="str">
        <f>CONCATENATE("          ", "6283", " - ", "PLANT SERVICE")</f>
        <v xml:space="preserve">          6283 - PLANT SERVICE</v>
      </c>
      <c r="C77" s="11"/>
      <c r="D77" s="6"/>
      <c r="E77" s="2"/>
      <c r="F77" s="7">
        <f t="shared" si="44"/>
        <v>0</v>
      </c>
      <c r="G77" s="2"/>
      <c r="H77" s="6">
        <v>100</v>
      </c>
      <c r="I77" s="2"/>
      <c r="J77" s="7">
        <f t="shared" si="45"/>
        <v>1.1565640794328209E-3</v>
      </c>
      <c r="K77" s="2"/>
      <c r="L77" s="6">
        <f t="shared" si="46"/>
        <v>-100</v>
      </c>
      <c r="M77" s="2"/>
      <c r="N77" s="7">
        <f t="shared" si="47"/>
        <v>-1</v>
      </c>
      <c r="O77" s="11"/>
      <c r="P77" s="6"/>
      <c r="Q77" s="2"/>
      <c r="R77" s="7">
        <f t="shared" si="48"/>
        <v>0</v>
      </c>
      <c r="S77" s="2"/>
      <c r="T77" s="6">
        <v>600</v>
      </c>
      <c r="U77" s="2"/>
      <c r="V77" s="7">
        <f t="shared" si="49"/>
        <v>1.2002208406346768E-3</v>
      </c>
      <c r="W77" s="2"/>
      <c r="X77" s="6">
        <f t="shared" si="50"/>
        <v>-600</v>
      </c>
      <c r="Y77" s="2"/>
      <c r="Z77" s="7">
        <f t="shared" si="51"/>
        <v>-1</v>
      </c>
    </row>
    <row r="78" spans="1:26" s="24" customFormat="1" hidden="1" outlineLevel="2" x14ac:dyDescent="0.3">
      <c r="A78" s="29"/>
      <c r="B78" s="11" t="str">
        <f>CONCATENATE("          ", "6284", " - ", "TRASH REMOVAL EXPENSE")</f>
        <v xml:space="preserve">          6284 - TRASH REMOVAL EXPENSE</v>
      </c>
      <c r="C78" s="11"/>
      <c r="D78" s="6"/>
      <c r="E78" s="2"/>
      <c r="F78" s="7">
        <f t="shared" si="44"/>
        <v>0</v>
      </c>
      <c r="G78" s="2"/>
      <c r="H78" s="6">
        <v>1000</v>
      </c>
      <c r="I78" s="2"/>
      <c r="J78" s="7">
        <f t="shared" si="45"/>
        <v>1.1565640794328209E-2</v>
      </c>
      <c r="K78" s="2"/>
      <c r="L78" s="6">
        <f t="shared" si="46"/>
        <v>-1000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6000</v>
      </c>
      <c r="U78" s="2"/>
      <c r="V78" s="7">
        <f t="shared" si="49"/>
        <v>1.2002208406346767E-2</v>
      </c>
      <c r="W78" s="2"/>
      <c r="X78" s="6">
        <f t="shared" si="50"/>
        <v>-6000</v>
      </c>
      <c r="Y78" s="2"/>
      <c r="Z78" s="7">
        <f t="shared" si="51"/>
        <v>-1</v>
      </c>
    </row>
    <row r="79" spans="1:26" s="24" customFormat="1" hidden="1" outlineLevel="2" x14ac:dyDescent="0.3">
      <c r="A79" s="29"/>
      <c r="B79" s="11" t="str">
        <f>CONCATENATE("          ", "6285", " - ", "JANITORIAL SERVICES")</f>
        <v xml:space="preserve">          6285 - JANITORIAL SERVICES</v>
      </c>
      <c r="C79" s="11"/>
      <c r="D79" s="6"/>
      <c r="E79" s="2"/>
      <c r="F79" s="7">
        <f t="shared" si="44"/>
        <v>0</v>
      </c>
      <c r="G79" s="2"/>
      <c r="H79" s="6">
        <v>8224</v>
      </c>
      <c r="I79" s="2"/>
      <c r="J79" s="7">
        <f t="shared" si="45"/>
        <v>9.5115829892555195E-2</v>
      </c>
      <c r="K79" s="2"/>
      <c r="L79" s="6">
        <f t="shared" si="46"/>
        <v>-8224</v>
      </c>
      <c r="M79" s="2"/>
      <c r="N79" s="7">
        <f t="shared" si="47"/>
        <v>-1</v>
      </c>
      <c r="O79" s="11"/>
      <c r="P79" s="6">
        <v>32947.800000000003</v>
      </c>
      <c r="Q79" s="2"/>
      <c r="R79" s="7">
        <f t="shared" si="48"/>
        <v>5.5947253041632443E-2</v>
      </c>
      <c r="S79" s="2"/>
      <c r="T79" s="6">
        <v>45036</v>
      </c>
      <c r="U79" s="2"/>
      <c r="V79" s="7">
        <f t="shared" si="49"/>
        <v>9.0088576298038833E-2</v>
      </c>
      <c r="W79" s="2"/>
      <c r="X79" s="6">
        <f t="shared" si="50"/>
        <v>-12088.199999999997</v>
      </c>
      <c r="Y79" s="2"/>
      <c r="Z79" s="7">
        <f t="shared" si="51"/>
        <v>-0.26841193711697303</v>
      </c>
    </row>
    <row r="80" spans="1:26" s="24" customFormat="1" hidden="1" outlineLevel="2" x14ac:dyDescent="0.3">
      <c r="A80" s="29"/>
      <c r="B80" s="11" t="str">
        <f>CONCATENATE("          ", "6286", " - ", "LAUNDRY EXPENSE")</f>
        <v xml:space="preserve">          6286 - LAUNDRY EXPENSE</v>
      </c>
      <c r="C80" s="11"/>
      <c r="D80" s="6">
        <v>782.5</v>
      </c>
      <c r="E80" s="2"/>
      <c r="F80" s="7">
        <f t="shared" si="44"/>
        <v>7.530854609080314E-3</v>
      </c>
      <c r="G80" s="2"/>
      <c r="H80" s="6">
        <v>543</v>
      </c>
      <c r="I80" s="2"/>
      <c r="J80" s="7">
        <f t="shared" si="45"/>
        <v>6.2801429513202178E-3</v>
      </c>
      <c r="K80" s="2"/>
      <c r="L80" s="6">
        <f t="shared" si="46"/>
        <v>239.5</v>
      </c>
      <c r="M80" s="2"/>
      <c r="N80" s="7">
        <f t="shared" si="47"/>
        <v>0.44106813996316757</v>
      </c>
      <c r="O80" s="11"/>
      <c r="P80" s="6">
        <v>2387.5</v>
      </c>
      <c r="Q80" s="2"/>
      <c r="R80" s="7">
        <f t="shared" si="48"/>
        <v>4.0541118568431719E-3</v>
      </c>
      <c r="S80" s="2"/>
      <c r="T80" s="6">
        <v>3697</v>
      </c>
      <c r="U80" s="2"/>
      <c r="V80" s="7">
        <f t="shared" si="49"/>
        <v>7.3953607463773333E-3</v>
      </c>
      <c r="W80" s="2"/>
      <c r="X80" s="6">
        <f t="shared" si="50"/>
        <v>-1309.5</v>
      </c>
      <c r="Y80" s="2"/>
      <c r="Z80" s="7">
        <f t="shared" si="51"/>
        <v>-0.354206113064647</v>
      </c>
    </row>
    <row r="81" spans="1:26" s="28" customFormat="1" outlineLevel="1" collapsed="1" x14ac:dyDescent="0.3">
      <c r="A81" s="27"/>
      <c r="B81" s="14" t="str">
        <f>CONCATENATE("     ","Subscriptions &amp; Dues                              ")</f>
        <v xml:space="preserve">     Subscriptions &amp; Dues                              </v>
      </c>
      <c r="C81" s="14"/>
      <c r="D81" s="1">
        <f>SUM(OSRRefD22_15x_0)</f>
        <v>1456.11</v>
      </c>
      <c r="E81" s="1"/>
      <c r="F81" s="5">
        <f t="shared" ref="F81:F92" si="52">IF(D$12=0,0,D81/D$12)</f>
        <v>1.4013741475818447E-2</v>
      </c>
      <c r="G81" s="1"/>
      <c r="H81" s="1">
        <f>SUM(OSRRefH22_15x_0)</f>
        <v>610</v>
      </c>
      <c r="I81" s="1"/>
      <c r="J81" s="5">
        <f t="shared" ref="J81:J92" si="53">IF(H$12=0,0,H81/H$12)</f>
        <v>7.0550408845402078E-3</v>
      </c>
      <c r="K81" s="1"/>
      <c r="L81" s="1">
        <f t="shared" ref="L81:L92" si="54">+D81-H81</f>
        <v>846.1099999999999</v>
      </c>
      <c r="M81" s="1"/>
      <c r="N81" s="5">
        <f t="shared" ref="N81:N92" si="55">IF(H81=0,0,L81/H81)</f>
        <v>1.3870655737704916</v>
      </c>
      <c r="O81" s="14"/>
      <c r="P81" s="1">
        <f>SUM(OSRRefP22_15x_0)</f>
        <v>3972.61</v>
      </c>
      <c r="Q81" s="1"/>
      <c r="R81" s="5">
        <f t="shared" ref="R81:R92" si="56">IF(P$12=0,0,P81/P$12)</f>
        <v>6.7457194988958125E-3</v>
      </c>
      <c r="S81" s="1"/>
      <c r="T81" s="1">
        <f>SUM(OSRRefT22_15x_0)</f>
        <v>3430</v>
      </c>
      <c r="U81" s="1"/>
      <c r="V81" s="5">
        <f t="shared" ref="V81:V92" si="57">IF(T$12=0,0,T81/T$12)</f>
        <v>6.8612624722949019E-3</v>
      </c>
      <c r="W81" s="1"/>
      <c r="X81" s="1">
        <f t="shared" ref="X81:X92" si="58">+P81-T81</f>
        <v>542.61000000000013</v>
      </c>
      <c r="Y81" s="1"/>
      <c r="Z81" s="5">
        <f t="shared" ref="Z81:Z92" si="59">IF(T81=0,0,X81/T81)</f>
        <v>0.15819533527696797</v>
      </c>
    </row>
    <row r="82" spans="1:26" s="24" customFormat="1" hidden="1" outlineLevel="2" x14ac:dyDescent="0.3">
      <c r="A82" s="29"/>
      <c r="B82" s="11" t="str">
        <f>CONCATENATE("          ", "6275", " - ", "SUBSCRIPTIONS")</f>
        <v xml:space="preserve">          6275 - SUBSCRIPTIONS</v>
      </c>
      <c r="C82" s="11"/>
      <c r="D82" s="6">
        <v>1456.11</v>
      </c>
      <c r="E82" s="2"/>
      <c r="F82" s="7">
        <f t="shared" si="52"/>
        <v>1.4013741475818447E-2</v>
      </c>
      <c r="G82" s="2"/>
      <c r="H82" s="6">
        <v>610</v>
      </c>
      <c r="I82" s="2"/>
      <c r="J82" s="7">
        <f t="shared" si="53"/>
        <v>7.0550408845402078E-3</v>
      </c>
      <c r="K82" s="2"/>
      <c r="L82" s="6">
        <f t="shared" si="54"/>
        <v>846.1099999999999</v>
      </c>
      <c r="M82" s="2"/>
      <c r="N82" s="7">
        <f t="shared" si="55"/>
        <v>1.3870655737704916</v>
      </c>
      <c r="O82" s="11"/>
      <c r="P82" s="6">
        <v>3972.61</v>
      </c>
      <c r="Q82" s="2"/>
      <c r="R82" s="7">
        <f t="shared" si="56"/>
        <v>6.7457194988958125E-3</v>
      </c>
      <c r="S82" s="2"/>
      <c r="T82" s="6">
        <v>3430</v>
      </c>
      <c r="U82" s="2"/>
      <c r="V82" s="7">
        <f t="shared" si="57"/>
        <v>6.8612624722949019E-3</v>
      </c>
      <c r="W82" s="2"/>
      <c r="X82" s="6">
        <f t="shared" si="58"/>
        <v>542.61000000000013</v>
      </c>
      <c r="Y82" s="2"/>
      <c r="Z82" s="7">
        <f t="shared" si="59"/>
        <v>0.15819533527696797</v>
      </c>
    </row>
    <row r="83" spans="1:26" s="28" customFormat="1" outlineLevel="1" collapsed="1" x14ac:dyDescent="0.3">
      <c r="A83" s="27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SUM(OSRRefD22_16x_0)</f>
        <v>1639.9199999999998</v>
      </c>
      <c r="E83" s="1"/>
      <c r="F83" s="5">
        <f t="shared" si="52"/>
        <v>1.5782746441562922E-2</v>
      </c>
      <c r="G83" s="1"/>
      <c r="H83" s="1">
        <f>SUM(OSRRefH22_16x_0)</f>
        <v>1475</v>
      </c>
      <c r="I83" s="1"/>
      <c r="J83" s="5">
        <f t="shared" si="53"/>
        <v>1.7059320171634109E-2</v>
      </c>
      <c r="K83" s="1"/>
      <c r="L83" s="1">
        <f t="shared" si="54"/>
        <v>164.91999999999985</v>
      </c>
      <c r="M83" s="1"/>
      <c r="N83" s="5">
        <f t="shared" si="55"/>
        <v>0.11181016949152532</v>
      </c>
      <c r="O83" s="14"/>
      <c r="P83" s="1">
        <f>SUM(OSRRefP22_16x_0)</f>
        <v>18586.11</v>
      </c>
      <c r="Q83" s="1"/>
      <c r="R83" s="5">
        <f t="shared" si="56"/>
        <v>3.1560280177420498E-2</v>
      </c>
      <c r="S83" s="1"/>
      <c r="T83" s="1">
        <f>SUM(OSRRefT22_16x_0)</f>
        <v>21948</v>
      </c>
      <c r="U83" s="1"/>
      <c r="V83" s="5">
        <f t="shared" si="57"/>
        <v>4.390407835041648E-2</v>
      </c>
      <c r="W83" s="1"/>
      <c r="X83" s="1">
        <f t="shared" si="58"/>
        <v>-3361.8899999999994</v>
      </c>
      <c r="Y83" s="1"/>
      <c r="Z83" s="5">
        <f t="shared" si="59"/>
        <v>-0.15317523236741387</v>
      </c>
    </row>
    <row r="84" spans="1:26" s="24" customFormat="1" hidden="1" outlineLevel="2" x14ac:dyDescent="0.3">
      <c r="A84" s="29"/>
      <c r="B84" s="11" t="str">
        <f>CONCATENATE("          ", "6235", " - ", "COVID-19 EXPENSES")</f>
        <v xml:space="preserve">          6235 - COVID-19 EXPENSES</v>
      </c>
      <c r="C84" s="11"/>
      <c r="D84" s="6"/>
      <c r="E84" s="2"/>
      <c r="F84" s="7">
        <f t="shared" si="52"/>
        <v>0</v>
      </c>
      <c r="G84" s="2"/>
      <c r="H84" s="6">
        <v>250</v>
      </c>
      <c r="I84" s="2"/>
      <c r="J84" s="7">
        <f t="shared" si="53"/>
        <v>2.8914101985820524E-3</v>
      </c>
      <c r="K84" s="2"/>
      <c r="L84" s="6">
        <f t="shared" si="54"/>
        <v>-250</v>
      </c>
      <c r="M84" s="2"/>
      <c r="N84" s="7">
        <f t="shared" si="55"/>
        <v>-1</v>
      </c>
      <c r="O84" s="11"/>
      <c r="P84" s="6">
        <v>193.5</v>
      </c>
      <c r="Q84" s="2"/>
      <c r="R84" s="7">
        <f t="shared" si="56"/>
        <v>3.285740918530487E-4</v>
      </c>
      <c r="S84" s="2"/>
      <c r="T84" s="6">
        <v>1750</v>
      </c>
      <c r="U84" s="2"/>
      <c r="V84" s="7">
        <f t="shared" si="57"/>
        <v>3.5006441185178074E-3</v>
      </c>
      <c r="W84" s="2"/>
      <c r="X84" s="6">
        <f t="shared" si="58"/>
        <v>-1556.5</v>
      </c>
      <c r="Y84" s="2"/>
      <c r="Z84" s="7">
        <f t="shared" si="59"/>
        <v>-0.88942857142857146</v>
      </c>
    </row>
    <row r="85" spans="1:26" s="24" customFormat="1" hidden="1" outlineLevel="2" x14ac:dyDescent="0.3">
      <c r="A85" s="29"/>
      <c r="B85" s="11" t="str">
        <f>CONCATENATE("          ", "6237", " - ", "JANITORIAL SUPPLIES")</f>
        <v xml:space="preserve">          6237 - JANITORIAL SUPPLIES</v>
      </c>
      <c r="C85" s="11"/>
      <c r="D85" s="6">
        <v>815.51</v>
      </c>
      <c r="E85" s="2"/>
      <c r="F85" s="7">
        <f t="shared" si="52"/>
        <v>7.8485459964870111E-3</v>
      </c>
      <c r="G85" s="2"/>
      <c r="H85" s="6">
        <v>225</v>
      </c>
      <c r="I85" s="2"/>
      <c r="J85" s="7">
        <f t="shared" si="53"/>
        <v>2.6022691787238473E-3</v>
      </c>
      <c r="K85" s="2"/>
      <c r="L85" s="6">
        <f t="shared" si="54"/>
        <v>590.51</v>
      </c>
      <c r="M85" s="2"/>
      <c r="N85" s="7">
        <f t="shared" si="55"/>
        <v>2.6244888888888886</v>
      </c>
      <c r="O85" s="11"/>
      <c r="P85" s="6">
        <v>5847.61</v>
      </c>
      <c r="Q85" s="2"/>
      <c r="R85" s="7">
        <f t="shared" si="56"/>
        <v>9.9295769780920196E-3</v>
      </c>
      <c r="S85" s="2"/>
      <c r="T85" s="6">
        <v>2828</v>
      </c>
      <c r="U85" s="2"/>
      <c r="V85" s="7">
        <f t="shared" si="57"/>
        <v>5.6570408955247762E-3</v>
      </c>
      <c r="W85" s="2"/>
      <c r="X85" s="6">
        <f t="shared" si="58"/>
        <v>3019.6099999999997</v>
      </c>
      <c r="Y85" s="2"/>
      <c r="Z85" s="7">
        <f t="shared" si="59"/>
        <v>1.0677545968882602</v>
      </c>
    </row>
    <row r="86" spans="1:26" s="24" customFormat="1" hidden="1" outlineLevel="2" x14ac:dyDescent="0.3">
      <c r="A86" s="29"/>
      <c r="B86" s="11" t="str">
        <f>CONCATENATE("          ", "6239", " - ", "KITCHEN SUPPLIES")</f>
        <v xml:space="preserve">          6239 - KITCHEN SUPPLIES</v>
      </c>
      <c r="C86" s="11"/>
      <c r="D86" s="6">
        <v>571.91999999999996</v>
      </c>
      <c r="E86" s="2"/>
      <c r="F86" s="7">
        <f t="shared" si="52"/>
        <v>5.5042126108948404E-3</v>
      </c>
      <c r="G86" s="2"/>
      <c r="H86" s="6"/>
      <c r="I86" s="2"/>
      <c r="J86" s="7">
        <f t="shared" si="53"/>
        <v>0</v>
      </c>
      <c r="K86" s="2"/>
      <c r="L86" s="6">
        <f t="shared" si="54"/>
        <v>571.91999999999996</v>
      </c>
      <c r="M86" s="2"/>
      <c r="N86" s="7">
        <f t="shared" si="55"/>
        <v>0</v>
      </c>
      <c r="O86" s="11"/>
      <c r="P86" s="6">
        <v>2855.78</v>
      </c>
      <c r="Q86" s="2"/>
      <c r="R86" s="7">
        <f t="shared" si="56"/>
        <v>4.8492781397007721E-3</v>
      </c>
      <c r="S86" s="2"/>
      <c r="T86" s="6">
        <v>5249</v>
      </c>
      <c r="U86" s="2"/>
      <c r="V86" s="7">
        <f t="shared" si="57"/>
        <v>1.0499931987485698E-2</v>
      </c>
      <c r="W86" s="2"/>
      <c r="X86" s="6">
        <f t="shared" si="58"/>
        <v>-2393.2199999999998</v>
      </c>
      <c r="Y86" s="2"/>
      <c r="Z86" s="7">
        <f t="shared" si="59"/>
        <v>-0.45593827395694414</v>
      </c>
    </row>
    <row r="87" spans="1:26" s="24" customFormat="1" hidden="1" outlineLevel="2" x14ac:dyDescent="0.3">
      <c r="A87" s="29"/>
      <c r="B87" s="11" t="str">
        <f>CONCATENATE("          ", "6241", " - ", "OFFICE EXPENSE")</f>
        <v xml:space="preserve">          6241 - OFFICE EXPENSE</v>
      </c>
      <c r="C87" s="11"/>
      <c r="D87" s="6">
        <v>185.82</v>
      </c>
      <c r="E87" s="2"/>
      <c r="F87" s="7">
        <f t="shared" si="52"/>
        <v>1.7883493973920818E-3</v>
      </c>
      <c r="G87" s="2"/>
      <c r="H87" s="6"/>
      <c r="I87" s="2"/>
      <c r="J87" s="7">
        <f t="shared" si="53"/>
        <v>0</v>
      </c>
      <c r="K87" s="2"/>
      <c r="L87" s="6">
        <f t="shared" si="54"/>
        <v>185.82</v>
      </c>
      <c r="M87" s="2"/>
      <c r="N87" s="7">
        <f t="shared" si="55"/>
        <v>0</v>
      </c>
      <c r="O87" s="11"/>
      <c r="P87" s="6">
        <v>6612.4</v>
      </c>
      <c r="Q87" s="2"/>
      <c r="R87" s="7">
        <f t="shared" si="56"/>
        <v>1.1228234237566402E-2</v>
      </c>
      <c r="S87" s="2"/>
      <c r="T87" s="6">
        <v>2927</v>
      </c>
      <c r="U87" s="2"/>
      <c r="V87" s="7">
        <f t="shared" si="57"/>
        <v>5.8550773342294984E-3</v>
      </c>
      <c r="W87" s="2"/>
      <c r="X87" s="6">
        <f t="shared" si="58"/>
        <v>3685.3999999999996</v>
      </c>
      <c r="Y87" s="2"/>
      <c r="Z87" s="7">
        <f t="shared" si="59"/>
        <v>1.2591048855483429</v>
      </c>
    </row>
    <row r="88" spans="1:26" s="24" customFormat="1" hidden="1" outlineLevel="2" x14ac:dyDescent="0.3">
      <c r="A88" s="29"/>
      <c r="B88" s="11" t="str">
        <f>CONCATENATE("          ", "6243", " - ", "PAPER SUPPLIES")</f>
        <v xml:space="preserve">          6243 - PAPER SUPPLIES</v>
      </c>
      <c r="C88" s="11"/>
      <c r="D88" s="6">
        <v>66.67</v>
      </c>
      <c r="E88" s="2"/>
      <c r="F88" s="7">
        <f t="shared" si="52"/>
        <v>6.4163843678898989E-4</v>
      </c>
      <c r="G88" s="2"/>
      <c r="H88" s="6">
        <v>600</v>
      </c>
      <c r="I88" s="2"/>
      <c r="J88" s="7">
        <f t="shared" si="53"/>
        <v>6.9393844765969258E-3</v>
      </c>
      <c r="K88" s="2"/>
      <c r="L88" s="6">
        <f t="shared" si="54"/>
        <v>-533.33000000000004</v>
      </c>
      <c r="M88" s="2"/>
      <c r="N88" s="7">
        <f t="shared" si="55"/>
        <v>-0.88888333333333336</v>
      </c>
      <c r="O88" s="11"/>
      <c r="P88" s="6">
        <v>1252.26</v>
      </c>
      <c r="Q88" s="2"/>
      <c r="R88" s="7">
        <f t="shared" si="56"/>
        <v>2.1264092623457299E-3</v>
      </c>
      <c r="S88" s="2"/>
      <c r="T88" s="6">
        <v>4733</v>
      </c>
      <c r="U88" s="2"/>
      <c r="V88" s="7">
        <f t="shared" si="57"/>
        <v>9.4677420645398747E-3</v>
      </c>
      <c r="W88" s="2"/>
      <c r="X88" s="6">
        <f t="shared" si="58"/>
        <v>-3480.74</v>
      </c>
      <c r="Y88" s="2"/>
      <c r="Z88" s="7">
        <f t="shared" si="59"/>
        <v>-0.73541939573209381</v>
      </c>
    </row>
    <row r="89" spans="1:26" s="24" customFormat="1" hidden="1" outlineLevel="2" x14ac:dyDescent="0.3">
      <c r="A89" s="29"/>
      <c r="B89" s="11" t="str">
        <f>CONCATENATE("          ", "6244", " - ", "SAFETY SUPPLY EXPENSE")</f>
        <v xml:space="preserve">          6244 - SAFETY SUPPLY EXPENSE</v>
      </c>
      <c r="C89" s="11"/>
      <c r="D89" s="6"/>
      <c r="E89" s="2"/>
      <c r="F89" s="7">
        <f t="shared" si="52"/>
        <v>0</v>
      </c>
      <c r="G89" s="2"/>
      <c r="H89" s="6">
        <v>50</v>
      </c>
      <c r="I89" s="2"/>
      <c r="J89" s="7">
        <f t="shared" si="53"/>
        <v>5.7828203971641045E-4</v>
      </c>
      <c r="K89" s="2"/>
      <c r="L89" s="6">
        <f t="shared" si="54"/>
        <v>-50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100</v>
      </c>
      <c r="U89" s="2"/>
      <c r="V89" s="7">
        <f t="shared" si="57"/>
        <v>2.0003680677244614E-4</v>
      </c>
      <c r="W89" s="2"/>
      <c r="X89" s="6">
        <f t="shared" si="58"/>
        <v>-100</v>
      </c>
      <c r="Y89" s="2"/>
      <c r="Z89" s="7">
        <f t="shared" si="59"/>
        <v>-1</v>
      </c>
    </row>
    <row r="90" spans="1:26" s="24" customFormat="1" hidden="1" outlineLevel="2" x14ac:dyDescent="0.3">
      <c r="A90" s="29"/>
      <c r="B90" s="11" t="str">
        <f>CONCATENATE("          ", "6245", " - ", "PRINTING")</f>
        <v xml:space="preserve">          6245 - PRINTING</v>
      </c>
      <c r="C90" s="11"/>
      <c r="D90" s="6"/>
      <c r="E90" s="2"/>
      <c r="F90" s="7">
        <f t="shared" si="52"/>
        <v>0</v>
      </c>
      <c r="G90" s="2"/>
      <c r="H90" s="6">
        <v>100</v>
      </c>
      <c r="I90" s="2"/>
      <c r="J90" s="7">
        <f t="shared" si="53"/>
        <v>1.1565640794328209E-3</v>
      </c>
      <c r="K90" s="2"/>
      <c r="L90" s="6">
        <f t="shared" si="54"/>
        <v>-100</v>
      </c>
      <c r="M90" s="2"/>
      <c r="N90" s="7">
        <f t="shared" si="55"/>
        <v>-1</v>
      </c>
      <c r="O90" s="11"/>
      <c r="P90" s="6">
        <v>1071</v>
      </c>
      <c r="Q90" s="2"/>
      <c r="R90" s="7">
        <f t="shared" si="56"/>
        <v>1.8186193921168742E-3</v>
      </c>
      <c r="S90" s="2"/>
      <c r="T90" s="6">
        <v>1100</v>
      </c>
      <c r="U90" s="2"/>
      <c r="V90" s="7">
        <f t="shared" si="57"/>
        <v>2.2004048744969076E-3</v>
      </c>
      <c r="W90" s="2"/>
      <c r="X90" s="6">
        <f t="shared" si="58"/>
        <v>-29</v>
      </c>
      <c r="Y90" s="2"/>
      <c r="Z90" s="7">
        <f t="shared" si="59"/>
        <v>-2.6363636363636363E-2</v>
      </c>
    </row>
    <row r="91" spans="1:26" s="24" customFormat="1" hidden="1" outlineLevel="2" x14ac:dyDescent="0.3">
      <c r="A91" s="29"/>
      <c r="B91" s="11" t="str">
        <f>CONCATENATE("          ", "6247", " - ", "STORE SUPPLIES")</f>
        <v xml:space="preserve">          6247 - STORE SUPPLIES</v>
      </c>
      <c r="C91" s="11"/>
      <c r="D91" s="6">
        <v>0</v>
      </c>
      <c r="E91" s="2"/>
      <c r="F91" s="7">
        <f t="shared" si="52"/>
        <v>0</v>
      </c>
      <c r="G91" s="2"/>
      <c r="H91" s="6"/>
      <c r="I91" s="2"/>
      <c r="J91" s="7">
        <f t="shared" si="53"/>
        <v>0</v>
      </c>
      <c r="K91" s="2"/>
      <c r="L91" s="6">
        <f t="shared" si="54"/>
        <v>0</v>
      </c>
      <c r="M91" s="2"/>
      <c r="N91" s="7">
        <f t="shared" si="55"/>
        <v>0</v>
      </c>
      <c r="O91" s="11"/>
      <c r="P91" s="6">
        <v>500.61</v>
      </c>
      <c r="Q91" s="2"/>
      <c r="R91" s="7">
        <f t="shared" si="56"/>
        <v>8.5006447608555399E-4</v>
      </c>
      <c r="S91" s="2"/>
      <c r="T91" s="6">
        <v>411</v>
      </c>
      <c r="U91" s="2"/>
      <c r="V91" s="7">
        <f t="shared" si="57"/>
        <v>8.2215127583475361E-4</v>
      </c>
      <c r="W91" s="2"/>
      <c r="X91" s="6">
        <f t="shared" si="58"/>
        <v>89.610000000000014</v>
      </c>
      <c r="Y91" s="2"/>
      <c r="Z91" s="7">
        <f t="shared" si="59"/>
        <v>0.218029197080292</v>
      </c>
    </row>
    <row r="92" spans="1:26" s="24" customFormat="1" hidden="1" outlineLevel="2" x14ac:dyDescent="0.3">
      <c r="A92" s="29"/>
      <c r="B92" s="11" t="str">
        <f>CONCATENATE("          ", "6248", " - ", "UNIFORMS")</f>
        <v xml:space="preserve">          6248 - UNIFORMS</v>
      </c>
      <c r="C92" s="11"/>
      <c r="D92" s="6"/>
      <c r="E92" s="2"/>
      <c r="F92" s="7">
        <f t="shared" si="52"/>
        <v>0</v>
      </c>
      <c r="G92" s="2"/>
      <c r="H92" s="6">
        <v>250</v>
      </c>
      <c r="I92" s="2"/>
      <c r="J92" s="7">
        <f t="shared" si="53"/>
        <v>2.8914101985820524E-3</v>
      </c>
      <c r="K92" s="2"/>
      <c r="L92" s="6">
        <f t="shared" si="54"/>
        <v>-250</v>
      </c>
      <c r="M92" s="2"/>
      <c r="N92" s="7">
        <f t="shared" si="55"/>
        <v>-1</v>
      </c>
      <c r="O92" s="11"/>
      <c r="P92" s="6">
        <v>252.95</v>
      </c>
      <c r="Q92" s="2"/>
      <c r="R92" s="7">
        <f t="shared" si="56"/>
        <v>4.2952359966009644E-4</v>
      </c>
      <c r="S92" s="2"/>
      <c r="T92" s="6">
        <v>2850</v>
      </c>
      <c r="U92" s="2"/>
      <c r="V92" s="7">
        <f t="shared" si="57"/>
        <v>5.701048993014715E-3</v>
      </c>
      <c r="W92" s="2"/>
      <c r="X92" s="6">
        <f t="shared" si="58"/>
        <v>-2597.0500000000002</v>
      </c>
      <c r="Y92" s="2"/>
      <c r="Z92" s="7">
        <f t="shared" si="59"/>
        <v>-0.91124561403508775</v>
      </c>
    </row>
    <row r="93" spans="1:26" s="28" customFormat="1" outlineLevel="1" collapsed="1" x14ac:dyDescent="0.3">
      <c r="A93" s="27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SUM(OSRRefD22_17x_0)</f>
        <v>177.45</v>
      </c>
      <c r="E93" s="1"/>
      <c r="F93" s="5">
        <f t="shared" ref="F93:F95" si="60">IF(D$12=0,0,D93/D$12)</f>
        <v>1.7077957193371268E-3</v>
      </c>
      <c r="G93" s="1"/>
      <c r="H93" s="1">
        <f>SUM(OSRRefH22_17x_0)</f>
        <v>360</v>
      </c>
      <c r="I93" s="1"/>
      <c r="J93" s="5">
        <f t="shared" ref="J93:J95" si="61">IF(H$12=0,0,H93/H$12)</f>
        <v>4.1636306859581555E-3</v>
      </c>
      <c r="K93" s="1"/>
      <c r="L93" s="1">
        <f t="shared" ref="L93:L95" si="62">+D93-H93</f>
        <v>-182.55</v>
      </c>
      <c r="M93" s="1"/>
      <c r="N93" s="5">
        <f t="shared" ref="N93:N95" si="63">IF(H93=0,0,L93/H93)</f>
        <v>-0.50708333333333333</v>
      </c>
      <c r="O93" s="14"/>
      <c r="P93" s="1">
        <f>SUM(OSRRefP22_17x_0)</f>
        <v>3644.94</v>
      </c>
      <c r="Q93" s="1"/>
      <c r="R93" s="5">
        <f t="shared" ref="R93:R95" si="64">IF(P$12=0,0,P93/P$12)</f>
        <v>6.1893170561180943E-3</v>
      </c>
      <c r="S93" s="1"/>
      <c r="T93" s="1">
        <f>SUM(OSRRefT22_17x_0)</f>
        <v>2460</v>
      </c>
      <c r="U93" s="1"/>
      <c r="V93" s="5">
        <f t="shared" ref="V93:V95" si="65">IF(T$12=0,0,T93/T$12)</f>
        <v>4.9209054466021751E-3</v>
      </c>
      <c r="W93" s="1"/>
      <c r="X93" s="1">
        <f t="shared" ref="X93:X95" si="66">+P93-T93</f>
        <v>1184.94</v>
      </c>
      <c r="Y93" s="1"/>
      <c r="Z93" s="5">
        <f t="shared" ref="Z93:Z95" si="67">IF(T93=0,0,X93/T93)</f>
        <v>0.48168292682926833</v>
      </c>
    </row>
    <row r="94" spans="1:26" s="24" customFormat="1" hidden="1" outlineLevel="2" x14ac:dyDescent="0.3">
      <c r="A94" s="29"/>
      <c r="B94" s="11" t="str">
        <f>CONCATENATE("          ", "6303", " - ", "DATA PHONE LINES")</f>
        <v xml:space="preserve">          6303 - DATA PHONE LINES</v>
      </c>
      <c r="C94" s="11"/>
      <c r="D94" s="6"/>
      <c r="E94" s="2"/>
      <c r="F94" s="7">
        <f t="shared" si="60"/>
        <v>0</v>
      </c>
      <c r="G94" s="2"/>
      <c r="H94" s="6">
        <v>135</v>
      </c>
      <c r="I94" s="2"/>
      <c r="J94" s="7">
        <f t="shared" si="61"/>
        <v>1.5613615072343084E-3</v>
      </c>
      <c r="K94" s="2"/>
      <c r="L94" s="6">
        <f t="shared" si="62"/>
        <v>-135</v>
      </c>
      <c r="M94" s="2"/>
      <c r="N94" s="7">
        <f t="shared" si="63"/>
        <v>-1</v>
      </c>
      <c r="O94" s="11"/>
      <c r="P94" s="6"/>
      <c r="Q94" s="2"/>
      <c r="R94" s="7">
        <f t="shared" si="64"/>
        <v>0</v>
      </c>
      <c r="S94" s="2"/>
      <c r="T94" s="6">
        <v>810</v>
      </c>
      <c r="U94" s="2"/>
      <c r="V94" s="7">
        <f t="shared" si="65"/>
        <v>1.6202981348568137E-3</v>
      </c>
      <c r="W94" s="2"/>
      <c r="X94" s="6">
        <f t="shared" si="66"/>
        <v>-810</v>
      </c>
      <c r="Y94" s="2"/>
      <c r="Z94" s="7">
        <f t="shared" si="67"/>
        <v>-1</v>
      </c>
    </row>
    <row r="95" spans="1:26" s="24" customFormat="1" hidden="1" outlineLevel="2" x14ac:dyDescent="0.3">
      <c r="A95" s="29"/>
      <c r="B95" s="11" t="str">
        <f>CONCATENATE("          ", "6309", " - ", "TELEPHONE")</f>
        <v xml:space="preserve">          6309 - TELEPHONE</v>
      </c>
      <c r="C95" s="11"/>
      <c r="D95" s="6">
        <v>177.45</v>
      </c>
      <c r="E95" s="2"/>
      <c r="F95" s="7">
        <f t="shared" si="60"/>
        <v>1.7077957193371268E-3</v>
      </c>
      <c r="G95" s="2"/>
      <c r="H95" s="6">
        <v>225</v>
      </c>
      <c r="I95" s="2"/>
      <c r="J95" s="7">
        <f t="shared" si="61"/>
        <v>2.6022691787238473E-3</v>
      </c>
      <c r="K95" s="2"/>
      <c r="L95" s="6">
        <f t="shared" si="62"/>
        <v>-47.550000000000011</v>
      </c>
      <c r="M95" s="2"/>
      <c r="N95" s="7">
        <f t="shared" si="63"/>
        <v>-0.21133333333333337</v>
      </c>
      <c r="O95" s="11"/>
      <c r="P95" s="6">
        <v>3644.94</v>
      </c>
      <c r="Q95" s="2"/>
      <c r="R95" s="7">
        <f t="shared" si="64"/>
        <v>6.1893170561180943E-3</v>
      </c>
      <c r="S95" s="2"/>
      <c r="T95" s="6">
        <v>1650</v>
      </c>
      <c r="U95" s="2"/>
      <c r="V95" s="7">
        <f t="shared" si="65"/>
        <v>3.300607311745361E-3</v>
      </c>
      <c r="W95" s="2"/>
      <c r="X95" s="6">
        <f t="shared" si="66"/>
        <v>1994.94</v>
      </c>
      <c r="Y95" s="2"/>
      <c r="Z95" s="7">
        <f t="shared" si="67"/>
        <v>1.2090545454545454</v>
      </c>
    </row>
    <row r="96" spans="1:26" s="28" customFormat="1" outlineLevel="1" collapsed="1" x14ac:dyDescent="0.3">
      <c r="A96" s="27"/>
      <c r="B96" s="14" t="str">
        <f>CONCATENATE("     ","Training                                          ")</f>
        <v xml:space="preserve">     Training                                          </v>
      </c>
      <c r="C96" s="14"/>
      <c r="D96" s="1">
        <f>SUM(OSRRefD22_18x_0)</f>
        <v>0</v>
      </c>
      <c r="E96" s="1"/>
      <c r="F96" s="5">
        <f t="shared" ref="F96:F101" si="68">IF(D$12=0,0,D96/D$12)</f>
        <v>0</v>
      </c>
      <c r="G96" s="1"/>
      <c r="H96" s="1">
        <f>SUM(OSRRefH22_18x_0)</f>
        <v>0</v>
      </c>
      <c r="I96" s="1"/>
      <c r="J96" s="5">
        <f t="shared" ref="J96:J101" si="69">IF(H$12=0,0,H96/H$12)</f>
        <v>0</v>
      </c>
      <c r="K96" s="1"/>
      <c r="L96" s="1">
        <f t="shared" ref="L96:L101" si="70">+D96-H96</f>
        <v>0</v>
      </c>
      <c r="M96" s="1"/>
      <c r="N96" s="5">
        <f t="shared" ref="N96:N101" si="71">IF(H96=0,0,L96/H96)</f>
        <v>0</v>
      </c>
      <c r="O96" s="14"/>
      <c r="P96" s="1">
        <f>SUM(OSRRefP22_18x_0)</f>
        <v>0</v>
      </c>
      <c r="Q96" s="1"/>
      <c r="R96" s="5">
        <f t="shared" ref="R96:R101" si="72">IF(P$12=0,0,P96/P$12)</f>
        <v>0</v>
      </c>
      <c r="S96" s="1"/>
      <c r="T96" s="1">
        <f>SUM(OSRRefT22_18x_0)</f>
        <v>800</v>
      </c>
      <c r="U96" s="1"/>
      <c r="V96" s="5">
        <f t="shared" ref="V96:V101" si="73">IF(T$12=0,0,T96/T$12)</f>
        <v>1.6002944541795691E-3</v>
      </c>
      <c r="W96" s="1"/>
      <c r="X96" s="1">
        <f t="shared" ref="X96:X101" si="74">+P96-T96</f>
        <v>-800</v>
      </c>
      <c r="Y96" s="1"/>
      <c r="Z96" s="5">
        <f t="shared" ref="Z96:Z101" si="75">IF(T96=0,0,X96/T96)</f>
        <v>-1</v>
      </c>
    </row>
    <row r="97" spans="1:26" s="24" customFormat="1" hidden="1" outlineLevel="2" x14ac:dyDescent="0.3">
      <c r="A97" s="29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68"/>
        <v>0</v>
      </c>
      <c r="G97" s="2"/>
      <c r="H97" s="6"/>
      <c r="I97" s="2"/>
      <c r="J97" s="7">
        <f t="shared" si="69"/>
        <v>0</v>
      </c>
      <c r="K97" s="2"/>
      <c r="L97" s="6">
        <f t="shared" si="70"/>
        <v>0</v>
      </c>
      <c r="M97" s="2"/>
      <c r="N97" s="7">
        <f t="shared" si="71"/>
        <v>0</v>
      </c>
      <c r="O97" s="11"/>
      <c r="P97" s="6"/>
      <c r="Q97" s="2"/>
      <c r="R97" s="7">
        <f t="shared" si="72"/>
        <v>0</v>
      </c>
      <c r="S97" s="2"/>
      <c r="T97" s="6">
        <v>800</v>
      </c>
      <c r="U97" s="2"/>
      <c r="V97" s="7">
        <f t="shared" si="73"/>
        <v>1.6002944541795691E-3</v>
      </c>
      <c r="W97" s="2"/>
      <c r="X97" s="6">
        <f t="shared" si="74"/>
        <v>-800</v>
      </c>
      <c r="Y97" s="2"/>
      <c r="Z97" s="7">
        <f t="shared" si="75"/>
        <v>-1</v>
      </c>
    </row>
    <row r="98" spans="1:26" s="28" customFormat="1" outlineLevel="1" collapsed="1" x14ac:dyDescent="0.3">
      <c r="A98" s="27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SUM(OSRRefD22_19x_0)</f>
        <v>0</v>
      </c>
      <c r="E98" s="1"/>
      <c r="F98" s="5">
        <f t="shared" si="68"/>
        <v>0</v>
      </c>
      <c r="G98" s="1"/>
      <c r="H98" s="1">
        <f>SUM(OSRRefH22_19x_0)</f>
        <v>0</v>
      </c>
      <c r="I98" s="1"/>
      <c r="J98" s="5">
        <f t="shared" si="69"/>
        <v>0</v>
      </c>
      <c r="K98" s="1"/>
      <c r="L98" s="1">
        <f t="shared" si="70"/>
        <v>0</v>
      </c>
      <c r="M98" s="1"/>
      <c r="N98" s="5">
        <f t="shared" si="71"/>
        <v>0</v>
      </c>
      <c r="O98" s="14"/>
      <c r="P98" s="1">
        <f>SUM(OSRRefP22_19x_0)</f>
        <v>18.59</v>
      </c>
      <c r="Q98" s="1"/>
      <c r="R98" s="5">
        <f t="shared" si="72"/>
        <v>3.1566885620404007E-5</v>
      </c>
      <c r="S98" s="1"/>
      <c r="T98" s="1">
        <f>SUM(OSRRefT22_19x_0)</f>
        <v>0</v>
      </c>
      <c r="U98" s="1"/>
      <c r="V98" s="5">
        <f t="shared" si="73"/>
        <v>0</v>
      </c>
      <c r="W98" s="1"/>
      <c r="X98" s="1">
        <f t="shared" si="74"/>
        <v>18.59</v>
      </c>
      <c r="Y98" s="1"/>
      <c r="Z98" s="5">
        <f t="shared" si="75"/>
        <v>0</v>
      </c>
    </row>
    <row r="99" spans="1:26" s="24" customFormat="1" hidden="1" outlineLevel="2" x14ac:dyDescent="0.3">
      <c r="A99" s="29"/>
      <c r="B99" s="11" t="str">
        <f>CONCATENATE("          ", "6292", " - ", "TRAVEL/CONFERENCE")</f>
        <v xml:space="preserve">          6292 - TRAVEL/CONFERENCE</v>
      </c>
      <c r="C99" s="11"/>
      <c r="D99" s="6"/>
      <c r="E99" s="2"/>
      <c r="F99" s="7">
        <f t="shared" si="68"/>
        <v>0</v>
      </c>
      <c r="G99" s="2"/>
      <c r="H99" s="6"/>
      <c r="I99" s="2"/>
      <c r="J99" s="7">
        <f t="shared" si="69"/>
        <v>0</v>
      </c>
      <c r="K99" s="2"/>
      <c r="L99" s="6">
        <f t="shared" si="70"/>
        <v>0</v>
      </c>
      <c r="M99" s="2"/>
      <c r="N99" s="7">
        <f t="shared" si="71"/>
        <v>0</v>
      </c>
      <c r="O99" s="11"/>
      <c r="P99" s="6">
        <v>18.59</v>
      </c>
      <c r="Q99" s="2"/>
      <c r="R99" s="7">
        <f t="shared" si="72"/>
        <v>3.1566885620404007E-5</v>
      </c>
      <c r="S99" s="2"/>
      <c r="T99" s="6"/>
      <c r="U99" s="2"/>
      <c r="V99" s="7">
        <f t="shared" si="73"/>
        <v>0</v>
      </c>
      <c r="W99" s="2"/>
      <c r="X99" s="6">
        <f t="shared" si="74"/>
        <v>18.59</v>
      </c>
      <c r="Y99" s="2"/>
      <c r="Z99" s="7">
        <f t="shared" si="75"/>
        <v>0</v>
      </c>
    </row>
    <row r="100" spans="1:26" s="28" customFormat="1" outlineLevel="1" collapsed="1" x14ac:dyDescent="0.3">
      <c r="A100" s="27"/>
      <c r="B100" s="14" t="str">
        <f>CONCATENATE("     ","Utilities                                         ")</f>
        <v xml:space="preserve">     Utilities                                         </v>
      </c>
      <c r="C100" s="14"/>
      <c r="D100" s="1">
        <f>SUM(OSRRefD22_20x_0)</f>
        <v>8150</v>
      </c>
      <c r="E100" s="1"/>
      <c r="F100" s="5">
        <f t="shared" si="68"/>
        <v>7.8436377078600072E-2</v>
      </c>
      <c r="G100" s="1"/>
      <c r="H100" s="1">
        <f>SUM(OSRRefH22_20x_0)</f>
        <v>8667</v>
      </c>
      <c r="I100" s="1"/>
      <c r="J100" s="5">
        <f t="shared" si="69"/>
        <v>0.10023940876444259</v>
      </c>
      <c r="K100" s="1"/>
      <c r="L100" s="1">
        <f t="shared" si="70"/>
        <v>-517</v>
      </c>
      <c r="M100" s="1"/>
      <c r="N100" s="5">
        <f t="shared" si="71"/>
        <v>-5.9651551863389871E-2</v>
      </c>
      <c r="O100" s="14"/>
      <c r="P100" s="1">
        <f>SUM(OSRRefP22_20x_0)</f>
        <v>46500</v>
      </c>
      <c r="Q100" s="1"/>
      <c r="R100" s="5">
        <f t="shared" si="72"/>
        <v>7.8959665484065966E-2</v>
      </c>
      <c r="S100" s="1"/>
      <c r="T100" s="1">
        <f>SUM(OSRRefT22_20x_0)</f>
        <v>52002</v>
      </c>
      <c r="U100" s="1"/>
      <c r="V100" s="5">
        <f t="shared" si="73"/>
        <v>0.10402314025780744</v>
      </c>
      <c r="W100" s="1"/>
      <c r="X100" s="1">
        <f t="shared" si="74"/>
        <v>-5502</v>
      </c>
      <c r="Y100" s="1"/>
      <c r="Z100" s="5">
        <f t="shared" si="75"/>
        <v>-0.10580362293757932</v>
      </c>
    </row>
    <row r="101" spans="1:26" s="24" customFormat="1" hidden="1" outlineLevel="2" x14ac:dyDescent="0.3">
      <c r="A101" s="29"/>
      <c r="B101" s="11" t="str">
        <f>CONCATENATE("          ", "6274", " - ", "UTILITIES")</f>
        <v xml:space="preserve">          6274 - UTILITIES</v>
      </c>
      <c r="C101" s="11"/>
      <c r="D101" s="6">
        <v>8150</v>
      </c>
      <c r="E101" s="2"/>
      <c r="F101" s="7">
        <f t="shared" si="68"/>
        <v>7.8436377078600072E-2</v>
      </c>
      <c r="G101" s="2"/>
      <c r="H101" s="6">
        <v>8667</v>
      </c>
      <c r="I101" s="2"/>
      <c r="J101" s="7">
        <f t="shared" si="69"/>
        <v>0.10023940876444259</v>
      </c>
      <c r="K101" s="2"/>
      <c r="L101" s="6">
        <f t="shared" si="70"/>
        <v>-517</v>
      </c>
      <c r="M101" s="2"/>
      <c r="N101" s="7">
        <f t="shared" si="71"/>
        <v>-5.9651551863389871E-2</v>
      </c>
      <c r="O101" s="11"/>
      <c r="P101" s="6">
        <v>46500</v>
      </c>
      <c r="Q101" s="2"/>
      <c r="R101" s="7">
        <f t="shared" si="72"/>
        <v>7.8959665484065966E-2</v>
      </c>
      <c r="S101" s="2"/>
      <c r="T101" s="6">
        <v>52002</v>
      </c>
      <c r="U101" s="2"/>
      <c r="V101" s="7">
        <f t="shared" si="73"/>
        <v>0.10402314025780744</v>
      </c>
      <c r="W101" s="2"/>
      <c r="X101" s="6">
        <f t="shared" si="74"/>
        <v>-5502</v>
      </c>
      <c r="Y101" s="2"/>
      <c r="Z101" s="7">
        <f t="shared" si="75"/>
        <v>-0.10580362293757932</v>
      </c>
    </row>
    <row r="102" spans="1:26" s="55" customFormat="1" x14ac:dyDescent="0.3">
      <c r="A102" s="36"/>
      <c r="B102" s="36"/>
      <c r="C102" s="36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6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3">
      <c r="A103" s="10"/>
      <c r="B103" s="25" t="s">
        <v>293</v>
      </c>
      <c r="C103" s="10"/>
      <c r="D103" s="4">
        <f>SUM(OSRRefD25x_0)</f>
        <v>104600.16</v>
      </c>
      <c r="E103" s="4"/>
      <c r="F103" s="12">
        <f t="shared" ref="F103:F106" si="76">IF(D$12=0,0,D103/D$12)</f>
        <v>1.0066819131585154</v>
      </c>
      <c r="G103" s="4"/>
      <c r="H103" s="4">
        <f>SUM(OSRRefH25x_0)</f>
        <v>250</v>
      </c>
      <c r="I103" s="4"/>
      <c r="J103" s="12">
        <f t="shared" ref="J103:J106" si="77">IF(H$12=0,0,H103/H$12)</f>
        <v>2.8914101985820524E-3</v>
      </c>
      <c r="K103" s="4"/>
      <c r="L103" s="4">
        <f t="shared" ref="L103:L106" si="78">+D103-H103</f>
        <v>104350.16</v>
      </c>
      <c r="M103" s="4"/>
      <c r="N103" s="12">
        <f t="shared" ref="N103:N106" si="79">IF(H103=0,0,L103/H103)</f>
        <v>417.40064000000001</v>
      </c>
      <c r="O103" s="10"/>
      <c r="P103" s="4">
        <f>SUM(OSRRefP25x_0)</f>
        <v>134618.51</v>
      </c>
      <c r="Q103" s="4"/>
      <c r="R103" s="12">
        <f t="shared" ref="R103:R106" si="80">IF(P$12=0,0,P103/P$12)</f>
        <v>0.22858994661426643</v>
      </c>
      <c r="S103" s="4"/>
      <c r="T103" s="4">
        <f>SUM(OSRRefT25x_0)</f>
        <v>1000</v>
      </c>
      <c r="U103" s="4"/>
      <c r="V103" s="12">
        <f t="shared" ref="V103:V106" si="81">IF(T$12=0,0,T103/T$12)</f>
        <v>2.0003680677244612E-3</v>
      </c>
      <c r="W103" s="4"/>
      <c r="X103" s="4">
        <f t="shared" ref="X103:X106" si="82">+P103-T103</f>
        <v>133618.51</v>
      </c>
      <c r="Y103" s="4"/>
      <c r="Z103" s="12">
        <f t="shared" ref="Z103:Z106" si="83">IF(T103=0,0,X103/T103)</f>
        <v>133.61851000000001</v>
      </c>
    </row>
    <row r="104" spans="1:26" s="24" customFormat="1" hidden="1" outlineLevel="1" x14ac:dyDescent="0.3">
      <c r="A104" s="44"/>
      <c r="B104" s="11" t="str">
        <f>CONCATENATE("          ", "9150", " - ", "MISC. INCOME")</f>
        <v xml:space="preserve">          9150 - MISC. INCOME</v>
      </c>
      <c r="C104" s="11"/>
      <c r="D104" s="2">
        <f>--104600.16</f>
        <v>104600.16</v>
      </c>
      <c r="E104" s="2"/>
      <c r="F104" s="19">
        <f t="shared" si="76"/>
        <v>1.0066819131585154</v>
      </c>
      <c r="G104" s="2"/>
      <c r="H104" s="2">
        <v>250</v>
      </c>
      <c r="I104" s="2"/>
      <c r="J104" s="19">
        <f t="shared" si="77"/>
        <v>2.8914101985820524E-3</v>
      </c>
      <c r="K104" s="2"/>
      <c r="L104" s="2">
        <f t="shared" si="78"/>
        <v>104350.16</v>
      </c>
      <c r="M104" s="2"/>
      <c r="N104" s="19">
        <f t="shared" si="79"/>
        <v>417.40064000000001</v>
      </c>
      <c r="O104" s="11"/>
      <c r="P104" s="2">
        <f>--134618.51</f>
        <v>134618.51</v>
      </c>
      <c r="Q104" s="2"/>
      <c r="R104" s="19">
        <f t="shared" si="80"/>
        <v>0.22858994661426643</v>
      </c>
      <c r="S104" s="2"/>
      <c r="T104" s="2">
        <v>1000</v>
      </c>
      <c r="U104" s="2"/>
      <c r="V104" s="19">
        <f t="shared" si="81"/>
        <v>2.0003680677244612E-3</v>
      </c>
      <c r="W104" s="2"/>
      <c r="X104" s="2">
        <f t="shared" si="82"/>
        <v>133618.51</v>
      </c>
      <c r="Y104" s="2"/>
      <c r="Z104" s="19">
        <f t="shared" si="83"/>
        <v>133.61851000000001</v>
      </c>
    </row>
    <row r="105" spans="1:26" s="24" customFormat="1" hidden="1" outlineLevel="1" x14ac:dyDescent="0.3">
      <c r="A105" s="44"/>
      <c r="B105" s="11" t="str">
        <f>CONCATENATE("          ", "9160", " - ", "MISC. INCOME")</f>
        <v xml:space="preserve">          9160 - MISC. INCOME</v>
      </c>
      <c r="C105" s="11"/>
      <c r="D105" s="2">
        <f t="shared" ref="D105:D106" si="84">0</f>
        <v>0</v>
      </c>
      <c r="E105" s="2"/>
      <c r="F105" s="19">
        <f t="shared" si="76"/>
        <v>0</v>
      </c>
      <c r="G105" s="2"/>
      <c r="H105" s="2"/>
      <c r="I105" s="2"/>
      <c r="J105" s="19">
        <f t="shared" si="77"/>
        <v>0</v>
      </c>
      <c r="K105" s="2"/>
      <c r="L105" s="2">
        <f t="shared" si="78"/>
        <v>0</v>
      </c>
      <c r="M105" s="2"/>
      <c r="N105" s="19">
        <f t="shared" si="79"/>
        <v>0</v>
      </c>
      <c r="O105" s="11"/>
      <c r="P105" s="2">
        <f t="shared" ref="P105:P106" si="85">0</f>
        <v>0</v>
      </c>
      <c r="Q105" s="2"/>
      <c r="R105" s="19">
        <f t="shared" si="80"/>
        <v>0</v>
      </c>
      <c r="S105" s="2"/>
      <c r="T105" s="2"/>
      <c r="U105" s="2"/>
      <c r="V105" s="19">
        <f t="shared" si="81"/>
        <v>0</v>
      </c>
      <c r="W105" s="2"/>
      <c r="X105" s="2">
        <f t="shared" si="82"/>
        <v>0</v>
      </c>
      <c r="Y105" s="2"/>
      <c r="Z105" s="19">
        <f t="shared" si="83"/>
        <v>0</v>
      </c>
    </row>
    <row r="106" spans="1:26" s="24" customFormat="1" hidden="1" outlineLevel="1" x14ac:dyDescent="0.3">
      <c r="A106" s="44"/>
      <c r="B106" s="11" t="str">
        <f>CONCATENATE("          ", "9165", " - ", "OTHER INCOME")</f>
        <v xml:space="preserve">          9165 - OTHER INCOME</v>
      </c>
      <c r="C106" s="11"/>
      <c r="D106" s="2">
        <f t="shared" si="84"/>
        <v>0</v>
      </c>
      <c r="E106" s="2"/>
      <c r="F106" s="19">
        <f t="shared" si="76"/>
        <v>0</v>
      </c>
      <c r="G106" s="2"/>
      <c r="H106" s="2"/>
      <c r="I106" s="2"/>
      <c r="J106" s="19">
        <f t="shared" si="77"/>
        <v>0</v>
      </c>
      <c r="K106" s="2"/>
      <c r="L106" s="2">
        <f t="shared" si="78"/>
        <v>0</v>
      </c>
      <c r="M106" s="2"/>
      <c r="N106" s="19">
        <f t="shared" si="79"/>
        <v>0</v>
      </c>
      <c r="O106" s="11"/>
      <c r="P106" s="2">
        <f t="shared" si="85"/>
        <v>0</v>
      </c>
      <c r="Q106" s="2"/>
      <c r="R106" s="19">
        <f t="shared" si="80"/>
        <v>0</v>
      </c>
      <c r="S106" s="2"/>
      <c r="T106" s="2"/>
      <c r="U106" s="2"/>
      <c r="V106" s="19">
        <f t="shared" si="81"/>
        <v>0</v>
      </c>
      <c r="W106" s="2"/>
      <c r="X106" s="2">
        <f t="shared" si="82"/>
        <v>0</v>
      </c>
      <c r="Y106" s="2"/>
      <c r="Z106" s="19">
        <f t="shared" si="83"/>
        <v>0</v>
      </c>
    </row>
    <row r="107" spans="1:26" x14ac:dyDescent="0.3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3">
      <c r="A108" s="10"/>
      <c r="B108" s="26" t="s">
        <v>277</v>
      </c>
      <c r="C108" s="26"/>
      <c r="D108" s="20">
        <f>+D24-D26+D103</f>
        <v>-13223.22000000003</v>
      </c>
      <c r="E108" s="13"/>
      <c r="F108" s="22">
        <f>IF(D$12=0,0,D108/D$12)</f>
        <v>-0.12726153007525012</v>
      </c>
      <c r="G108" s="13"/>
      <c r="H108" s="20">
        <f>+H24-H26+H103</f>
        <v>-102594.08146590664</v>
      </c>
      <c r="I108" s="13"/>
      <c r="J108" s="22">
        <f>IF(H$12=0,0,H108/H$12)</f>
        <v>-1.1865662938587216</v>
      </c>
      <c r="K108" s="16"/>
      <c r="L108" s="20">
        <f>+D108-H108</f>
        <v>89370.861465906608</v>
      </c>
      <c r="M108" s="16"/>
      <c r="N108" s="22">
        <f>IF(H108=0,0,L108/H108)</f>
        <v>-0.87111127843769154</v>
      </c>
      <c r="O108" s="25"/>
      <c r="P108" s="20">
        <f>+P24-P26+P103</f>
        <v>-584235.52999999991</v>
      </c>
      <c r="Q108" s="13"/>
      <c r="R108" s="22">
        <f>IF(P$12=0,0,P108/P$12)</f>
        <v>-0.99206541962808548</v>
      </c>
      <c r="S108" s="13"/>
      <c r="T108" s="20">
        <f>+T24-T26+T103</f>
        <v>-694221.00864158932</v>
      </c>
      <c r="U108" s="13"/>
      <c r="V108" s="22">
        <f>IF(T$12=0,0,T108/T$12)</f>
        <v>-1.3886975376301025</v>
      </c>
      <c r="W108" s="16"/>
      <c r="X108" s="20">
        <f>+P108-T108</f>
        <v>109985.47864158941</v>
      </c>
      <c r="Y108" s="16"/>
      <c r="Z108" s="22">
        <f>IF(T108=0,0,X108/T108)</f>
        <v>-0.15843006372970836</v>
      </c>
    </row>
    <row r="109" spans="1:26" x14ac:dyDescent="0.3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3">
      <c r="A110" s="52"/>
      <c r="B110" s="10" t="s">
        <v>128</v>
      </c>
      <c r="C110" s="10"/>
      <c r="D110" s="4">
        <v>13117.89</v>
      </c>
      <c r="E110" s="4"/>
      <c r="F110" s="12">
        <f>IF(D$12=0,0,D110/D$12)</f>
        <v>0.1262478241123432</v>
      </c>
      <c r="G110" s="4"/>
      <c r="H110" s="4">
        <v>13038</v>
      </c>
      <c r="I110" s="4"/>
      <c r="J110" s="12">
        <f>IF(H$12=0,0,H110/H$12)</f>
        <v>0.15079282467645119</v>
      </c>
      <c r="K110" s="4"/>
      <c r="L110" s="4">
        <f>+D110-H110</f>
        <v>79.889999999999418</v>
      </c>
      <c r="M110" s="4"/>
      <c r="N110" s="12">
        <f>IF(H110=0,0,L110/H110)</f>
        <v>6.1274735388862876E-3</v>
      </c>
      <c r="O110" s="10"/>
      <c r="P110" s="4">
        <v>70887.37</v>
      </c>
      <c r="Q110" s="4"/>
      <c r="R110" s="12">
        <f>IF(P$12=0,0,P110/P$12)</f>
        <v>0.12037081768269274</v>
      </c>
      <c r="S110" s="4"/>
      <c r="T110" s="4">
        <v>64723</v>
      </c>
      <c r="U110" s="4"/>
      <c r="V110" s="12">
        <f>IF(T$12=0,0,T110/T$12)</f>
        <v>0.1294698224473303</v>
      </c>
      <c r="W110" s="4"/>
      <c r="X110" s="4">
        <f>+P110-T110</f>
        <v>6164.3699999999953</v>
      </c>
      <c r="Y110" s="4"/>
      <c r="Z110" s="12">
        <f>IF(T110=0,0,X110/T110)</f>
        <v>9.5242340435393841E-2</v>
      </c>
    </row>
    <row r="111" spans="1:26" x14ac:dyDescent="0.3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" thickBot="1" x14ac:dyDescent="0.35">
      <c r="A112" s="10"/>
      <c r="B112" s="26" t="s">
        <v>126</v>
      </c>
      <c r="C112" s="26"/>
      <c r="D112" s="31">
        <f>+D108-D110</f>
        <v>-26341.11000000003</v>
      </c>
      <c r="E112" s="13"/>
      <c r="F112" s="30">
        <f>IF(D$12=0,0,D112/D$12)</f>
        <v>-0.25350935418759329</v>
      </c>
      <c r="G112" s="13"/>
      <c r="H112" s="31">
        <f>+H108-H110</f>
        <v>-115632.08146590664</v>
      </c>
      <c r="I112" s="13"/>
      <c r="J112" s="30">
        <f>IF(H$12=0,0,H112/H$12)</f>
        <v>-1.3373591185351728</v>
      </c>
      <c r="K112" s="16"/>
      <c r="L112" s="31">
        <f>D112-H112</f>
        <v>89290.971465906609</v>
      </c>
      <c r="M112" s="16"/>
      <c r="N112" s="30">
        <f>IF(H112=0,0,L112/H112)</f>
        <v>-0.7721989462953105</v>
      </c>
      <c r="O112" s="25"/>
      <c r="P112" s="31">
        <f>+P108-P110</f>
        <v>-655122.89999999991</v>
      </c>
      <c r="Q112" s="13"/>
      <c r="R112" s="30">
        <f>IF(P$12=0,0,P112/P$12)</f>
        <v>-1.1124362373107783</v>
      </c>
      <c r="S112" s="13"/>
      <c r="T112" s="31">
        <f>+T108-T110</f>
        <v>-758944.00864158932</v>
      </c>
      <c r="U112" s="13"/>
      <c r="V112" s="30">
        <f>IF(T$12=0,0,T112/T$12)</f>
        <v>-1.5181673600774328</v>
      </c>
      <c r="W112" s="16"/>
      <c r="X112" s="31">
        <f>P112-T112</f>
        <v>103821.10864158941</v>
      </c>
      <c r="Y112" s="16"/>
      <c r="Z112" s="30">
        <f>IF(T112=0,0,X112/T112)</f>
        <v>-0.13679679588935109</v>
      </c>
    </row>
    <row r="113" spans="1:26" ht="15" thickTop="1" x14ac:dyDescent="0.3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3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" thickBot="1" x14ac:dyDescent="0.35">
      <c r="A115" s="10"/>
      <c r="B115" s="26" t="s">
        <v>294</v>
      </c>
      <c r="C115" s="26"/>
      <c r="D115" s="35">
        <f>SUM(D112:D114)</f>
        <v>-26341.11000000003</v>
      </c>
      <c r="E115" s="13"/>
      <c r="F115" s="34">
        <f>IF(D$12=0,0,D115/D$12)</f>
        <v>-0.25350935418759329</v>
      </c>
      <c r="G115" s="13"/>
      <c r="H115" s="35">
        <f>SUM(H112:H114)</f>
        <v>-115632.08146590664</v>
      </c>
      <c r="I115" s="13"/>
      <c r="J115" s="34">
        <f>IF(H$12=0,0,H115/H$12)</f>
        <v>-1.3373591185351728</v>
      </c>
      <c r="K115" s="16"/>
      <c r="L115" s="35">
        <f>+D115-H115</f>
        <v>89290.971465906609</v>
      </c>
      <c r="M115" s="16"/>
      <c r="N115" s="34">
        <f>IF(H115=0,0,L115/H115)</f>
        <v>-0.7721989462953105</v>
      </c>
      <c r="O115" s="25"/>
      <c r="P115" s="35">
        <f>SUM(P112:P114)</f>
        <v>-655122.89999999991</v>
      </c>
      <c r="Q115" s="13"/>
      <c r="R115" s="34">
        <f>IF(P$12=0,0,P115/P$12)</f>
        <v>-1.1124362373107783</v>
      </c>
      <c r="S115" s="13"/>
      <c r="T115" s="35">
        <f>SUM(T112:T114)</f>
        <v>-758944.00864158932</v>
      </c>
      <c r="U115" s="13"/>
      <c r="V115" s="34">
        <f>IF(T$12=0,0,T115/T$12)</f>
        <v>-1.5181673600774328</v>
      </c>
      <c r="W115" s="16"/>
      <c r="X115" s="35">
        <f>+P115-T115</f>
        <v>103821.10864158941</v>
      </c>
      <c r="Y115" s="16"/>
      <c r="Z115" s="34">
        <f>IF(T115=0,0,X115/T115)</f>
        <v>-0.13679679588935109</v>
      </c>
    </row>
    <row r="116" spans="1:26" ht="15" thickTop="1" x14ac:dyDescent="0.3">
      <c r="A116" s="9"/>
      <c r="C116" s="9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3">
      <c r="A117" s="9"/>
      <c r="B117" s="61">
        <v>44575.842112997685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3">
      <c r="A118" s="9"/>
      <c r="B118" s="62" t="s">
        <v>56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3">
      <c r="A119" s="9"/>
      <c r="B119" s="53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3"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","405", " - ", "Caffeine Lab")</f>
        <v>Department 405 - Caffeine Lab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51547.820000000007</v>
      </c>
      <c r="E12" s="4"/>
      <c r="F12" s="12"/>
      <c r="G12" s="4"/>
      <c r="H12" s="4">
        <f>SUM(OSRRefH13x_0)</f>
        <v>29819</v>
      </c>
      <c r="I12" s="4"/>
      <c r="J12" s="12"/>
      <c r="K12" s="4"/>
      <c r="L12" s="4">
        <f t="shared" ref="L12:L16" si="0">+D12-H12</f>
        <v>21728.820000000007</v>
      </c>
      <c r="M12" s="4"/>
      <c r="N12" s="12">
        <f t="shared" ref="N12:N16" si="1">IF(H12=0,0,L12/H12)</f>
        <v>0.72869043227472441</v>
      </c>
      <c r="O12" s="10"/>
      <c r="P12" s="4">
        <f>SUM(OSRRefP13x_0)</f>
        <v>266860.03000000003</v>
      </c>
      <c r="Q12" s="4"/>
      <c r="R12" s="12"/>
      <c r="S12" s="4"/>
      <c r="T12" s="4">
        <f>SUM(OSRRefT13x_0)</f>
        <v>137222</v>
      </c>
      <c r="U12" s="4"/>
      <c r="V12" s="12"/>
      <c r="W12" s="4"/>
      <c r="X12" s="4">
        <f t="shared" ref="X12:X16" si="2">+P12-T12</f>
        <v>129638.03000000003</v>
      </c>
      <c r="Y12" s="4"/>
      <c r="Z12" s="12">
        <f t="shared" ref="Z12:Z16" si="3">IF(T12=0,0,X12/T12)</f>
        <v>0.94473211292649883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6244</v>
      </c>
      <c r="I13" s="2"/>
      <c r="J13" s="19"/>
      <c r="K13" s="2"/>
      <c r="L13" s="2">
        <f t="shared" si="0"/>
        <v>-6244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28735</v>
      </c>
      <c r="U13" s="2"/>
      <c r="V13" s="19"/>
      <c r="W13" s="2"/>
      <c r="X13" s="2">
        <f t="shared" si="2"/>
        <v>-28735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--2926.84</f>
        <v>2926.84</v>
      </c>
      <c r="E14" s="2"/>
      <c r="F14" s="19"/>
      <c r="G14" s="2"/>
      <c r="H14" s="2"/>
      <c r="I14" s="2"/>
      <c r="J14" s="19"/>
      <c r="K14" s="2"/>
      <c r="L14" s="2">
        <f t="shared" si="0"/>
        <v>2926.84</v>
      </c>
      <c r="M14" s="2"/>
      <c r="N14" s="19">
        <f t="shared" si="1"/>
        <v>0</v>
      </c>
      <c r="O14" s="11"/>
      <c r="P14" s="2">
        <f>--23425.99</f>
        <v>23425.99</v>
      </c>
      <c r="Q14" s="2"/>
      <c r="R14" s="19"/>
      <c r="S14" s="2"/>
      <c r="T14" s="2"/>
      <c r="U14" s="2"/>
      <c r="V14" s="19"/>
      <c r="W14" s="2"/>
      <c r="X14" s="2">
        <f t="shared" si="2"/>
        <v>23425.99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23575</v>
      </c>
      <c r="I15" s="2"/>
      <c r="J15" s="19"/>
      <c r="K15" s="2"/>
      <c r="L15" s="2">
        <f t="shared" si="0"/>
        <v>-23575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108487</v>
      </c>
      <c r="U15" s="2"/>
      <c r="V15" s="19"/>
      <c r="W15" s="2"/>
      <c r="X15" s="2">
        <f t="shared" si="2"/>
        <v>-108487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--48620.98</f>
        <v>48620.98</v>
      </c>
      <c r="E16" s="2"/>
      <c r="F16" s="19"/>
      <c r="G16" s="2"/>
      <c r="H16" s="2"/>
      <c r="I16" s="2"/>
      <c r="J16" s="19"/>
      <c r="K16" s="2"/>
      <c r="L16" s="2">
        <f t="shared" si="0"/>
        <v>48620.98</v>
      </c>
      <c r="M16" s="2"/>
      <c r="N16" s="19">
        <f t="shared" si="1"/>
        <v>0</v>
      </c>
      <c r="O16" s="11"/>
      <c r="P16" s="2">
        <f>--243434.04</f>
        <v>243434.04</v>
      </c>
      <c r="Q16" s="2"/>
      <c r="R16" s="19"/>
      <c r="S16" s="2"/>
      <c r="T16" s="2"/>
      <c r="U16" s="2"/>
      <c r="V16" s="19"/>
      <c r="W16" s="2"/>
      <c r="X16" s="2">
        <f t="shared" si="2"/>
        <v>243434.04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22161.129999999997</v>
      </c>
      <c r="E18" s="4"/>
      <c r="F18" s="12">
        <f t="shared" ref="F18:F21" si="4">IF(D$12=0,0,D18/D$12)</f>
        <v>0.42991400994261242</v>
      </c>
      <c r="G18" s="4"/>
      <c r="H18" s="4">
        <f>SUM(OSRRefH16x_0)</f>
        <v>11331</v>
      </c>
      <c r="I18" s="4"/>
      <c r="J18" s="12">
        <f t="shared" ref="J18:J21" si="5">IF(H$12=0,0,H18/H$12)</f>
        <v>0.37999262215366042</v>
      </c>
      <c r="K18" s="4"/>
      <c r="L18" s="4">
        <f t="shared" ref="L18:L21" si="6">+D18-H18</f>
        <v>10830.129999999997</v>
      </c>
      <c r="M18" s="4"/>
      <c r="N18" s="12">
        <f t="shared" ref="N18:N21" si="7">IF(H18=0,0,L18/H18)</f>
        <v>0.95579648751213464</v>
      </c>
      <c r="O18" s="10"/>
      <c r="P18" s="4">
        <f>SUM(OSRRefP16x_0)</f>
        <v>112214.75</v>
      </c>
      <c r="Q18" s="4"/>
      <c r="R18" s="12">
        <f t="shared" ref="R18:R21" si="8">IF(P$12=0,0,P18/P$12)</f>
        <v>0.42050040240196324</v>
      </c>
      <c r="S18" s="4"/>
      <c r="T18" s="4">
        <f>SUM(OSRRefT16x_0)</f>
        <v>52144</v>
      </c>
      <c r="U18" s="4"/>
      <c r="V18" s="12">
        <f t="shared" ref="V18:V21" si="9">IF(T$12=0,0,T18/T$12)</f>
        <v>0.37999737651397009</v>
      </c>
      <c r="W18" s="4"/>
      <c r="X18" s="4">
        <f t="shared" ref="X18:X21" si="10">+P18-T18</f>
        <v>60070.75</v>
      </c>
      <c r="Y18" s="4"/>
      <c r="Z18" s="12">
        <f t="shared" ref="Z18:Z21" si="11">IF(T18=0,0,X18/T18)</f>
        <v>1.152016531144523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11331</v>
      </c>
      <c r="I19" s="2"/>
      <c r="J19" s="19">
        <f t="shared" si="5"/>
        <v>0.37999262215366042</v>
      </c>
      <c r="K19" s="2"/>
      <c r="L19" s="2">
        <f t="shared" si="6"/>
        <v>-11331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52144</v>
      </c>
      <c r="U19" s="2"/>
      <c r="V19" s="19">
        <f t="shared" si="9"/>
        <v>0.37999737651397009</v>
      </c>
      <c r="W19" s="2"/>
      <c r="X19" s="2">
        <f t="shared" si="10"/>
        <v>-52144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8751.92</v>
      </c>
      <c r="E20" s="2"/>
      <c r="F20" s="19">
        <f t="shared" si="4"/>
        <v>0.16978254366528009</v>
      </c>
      <c r="G20" s="2"/>
      <c r="H20" s="2"/>
      <c r="I20" s="2"/>
      <c r="J20" s="19">
        <f t="shared" si="5"/>
        <v>0</v>
      </c>
      <c r="K20" s="2"/>
      <c r="L20" s="2">
        <f t="shared" si="6"/>
        <v>8751.92</v>
      </c>
      <c r="M20" s="2"/>
      <c r="N20" s="19">
        <f t="shared" si="7"/>
        <v>0</v>
      </c>
      <c r="O20" s="11"/>
      <c r="P20" s="2">
        <v>94095.51</v>
      </c>
      <c r="Q20" s="2"/>
      <c r="R20" s="19">
        <f t="shared" si="8"/>
        <v>0.35260248602984862</v>
      </c>
      <c r="S20" s="2"/>
      <c r="T20" s="2"/>
      <c r="U20" s="2"/>
      <c r="V20" s="19">
        <f t="shared" si="9"/>
        <v>0</v>
      </c>
      <c r="W20" s="2"/>
      <c r="X20" s="2">
        <f t="shared" si="10"/>
        <v>94095.51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13409.21</v>
      </c>
      <c r="E21" s="2"/>
      <c r="F21" s="19">
        <f t="shared" si="4"/>
        <v>0.26013146627733236</v>
      </c>
      <c r="G21" s="2"/>
      <c r="H21" s="2"/>
      <c r="I21" s="2"/>
      <c r="J21" s="19">
        <f t="shared" si="5"/>
        <v>0</v>
      </c>
      <c r="K21" s="2"/>
      <c r="L21" s="2">
        <f t="shared" si="6"/>
        <v>13409.21</v>
      </c>
      <c r="M21" s="2"/>
      <c r="N21" s="19">
        <f t="shared" si="7"/>
        <v>0</v>
      </c>
      <c r="O21" s="11"/>
      <c r="P21" s="2">
        <v>18119.240000000002</v>
      </c>
      <c r="Q21" s="2"/>
      <c r="R21" s="19">
        <f t="shared" si="8"/>
        <v>6.7897916372114619E-2</v>
      </c>
      <c r="S21" s="2"/>
      <c r="T21" s="2"/>
      <c r="U21" s="2"/>
      <c r="V21" s="19">
        <f t="shared" si="9"/>
        <v>0</v>
      </c>
      <c r="W21" s="2"/>
      <c r="X21" s="2">
        <f t="shared" si="10"/>
        <v>18119.240000000002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29386.69000000001</v>
      </c>
      <c r="E23" s="13"/>
      <c r="F23" s="22">
        <f>IF(D$12=0,0,D23/D$12)</f>
        <v>0.57008599005738758</v>
      </c>
      <c r="G23" s="13"/>
      <c r="H23" s="20">
        <f>H12-H18</f>
        <v>18488</v>
      </c>
      <c r="I23" s="13"/>
      <c r="J23" s="22">
        <f>IF(H$12=0,0,H23/H$12)</f>
        <v>0.62000737784633964</v>
      </c>
      <c r="K23" s="16"/>
      <c r="L23" s="20">
        <f>+D23-H23</f>
        <v>10898.69000000001</v>
      </c>
      <c r="M23" s="16"/>
      <c r="N23" s="22">
        <f>IF(H23=0,0,L23/H23)</f>
        <v>0.58950075724794515</v>
      </c>
      <c r="O23" s="25"/>
      <c r="P23" s="20">
        <f>P12-P18</f>
        <v>154645.28000000003</v>
      </c>
      <c r="Q23" s="13"/>
      <c r="R23" s="22">
        <f>IF(P$12=0,0,P23/P$12)</f>
        <v>0.57949959759803671</v>
      </c>
      <c r="S23" s="13"/>
      <c r="T23" s="20">
        <f>T12-T18</f>
        <v>85078</v>
      </c>
      <c r="U23" s="13"/>
      <c r="V23" s="22">
        <f>IF(T$12=0,0,T23/T$12)</f>
        <v>0.62000262348602997</v>
      </c>
      <c r="W23" s="16"/>
      <c r="X23" s="20">
        <f>+P23-T23</f>
        <v>69567.280000000028</v>
      </c>
      <c r="Y23" s="16"/>
      <c r="Z23" s="22">
        <f>IF(T23=0,0,X23/T23)</f>
        <v>0.81768823902771604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35475.629999999997</v>
      </c>
      <c r="E25" s="21"/>
      <c r="F25" s="32">
        <f t="shared" ref="F25:F35" si="12">IF(D$12=0,0,D25/D$12)</f>
        <v>0.68820815312849293</v>
      </c>
      <c r="G25" s="21"/>
      <c r="H25" s="21">
        <f>SUM(OSRRefH22x_0)</f>
        <v>31200.914307692303</v>
      </c>
      <c r="I25" s="21"/>
      <c r="J25" s="32">
        <f t="shared" ref="J25:J35" si="13">IF(H$12=0,0,H25/H$12)</f>
        <v>1.0463434155301083</v>
      </c>
      <c r="K25" s="4"/>
      <c r="L25" s="21">
        <f t="shared" ref="L25:L35" si="14">+D25-H25</f>
        <v>4274.7156923076946</v>
      </c>
      <c r="M25" s="4"/>
      <c r="N25" s="32">
        <f t="shared" ref="N25:N35" si="15">IF(H25=0,0,L25/H25)</f>
        <v>0.13700610341581568</v>
      </c>
      <c r="O25" s="10"/>
      <c r="P25" s="21">
        <f>SUM(OSRRefP22x_0)</f>
        <v>195292.29999999996</v>
      </c>
      <c r="Q25" s="21"/>
      <c r="R25" s="32">
        <f t="shared" ref="R25:R35" si="16">IF(P$12=0,0,P25/P$12)</f>
        <v>0.73181547645033218</v>
      </c>
      <c r="S25" s="21"/>
      <c r="T25" s="21">
        <f>SUM(OSRRefT22x_0)</f>
        <v>184200.78787</v>
      </c>
      <c r="U25" s="21"/>
      <c r="V25" s="32">
        <f t="shared" ref="V25:V35" si="17">IF(T$12=0,0,T25/T$12)</f>
        <v>1.3423560935564267</v>
      </c>
      <c r="W25" s="4"/>
      <c r="X25" s="21">
        <f t="shared" ref="X25:X35" si="18">+P25-T25</f>
        <v>11091.512129999959</v>
      </c>
      <c r="Y25" s="4"/>
      <c r="Z25" s="32">
        <f t="shared" ref="Z25:Z35" si="19">IF(T25=0,0,X25/T25)</f>
        <v>6.021424912594734E-2</v>
      </c>
    </row>
    <row r="26" spans="1:26" s="28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5445.84</v>
      </c>
      <c r="E26" s="1"/>
      <c r="F26" s="5">
        <f t="shared" si="12"/>
        <v>0.10564636875041465</v>
      </c>
      <c r="G26" s="1"/>
      <c r="H26" s="1">
        <f>SUM(OSRRefH22_0x_0)</f>
        <v>3913.9223846153841</v>
      </c>
      <c r="I26" s="1"/>
      <c r="J26" s="5">
        <f t="shared" si="13"/>
        <v>0.13125599063065108</v>
      </c>
      <c r="K26" s="1"/>
      <c r="L26" s="1">
        <f t="shared" si="14"/>
        <v>1531.9176153846161</v>
      </c>
      <c r="M26" s="1"/>
      <c r="N26" s="5">
        <f t="shared" si="15"/>
        <v>0.39140214466341688</v>
      </c>
      <c r="O26" s="14"/>
      <c r="P26" s="1">
        <f>SUM(OSRRefP22_0x_0)</f>
        <v>25007.329999999998</v>
      </c>
      <c r="Q26" s="1"/>
      <c r="R26" s="5">
        <f t="shared" si="16"/>
        <v>9.3709537542958368E-2</v>
      </c>
      <c r="S26" s="1"/>
      <c r="T26" s="1">
        <f>SUM(OSRRefT22_0x_0)</f>
        <v>24270.817869999992</v>
      </c>
      <c r="U26" s="1"/>
      <c r="V26" s="5">
        <f t="shared" si="17"/>
        <v>0.17687264338079894</v>
      </c>
      <c r="W26" s="1"/>
      <c r="X26" s="1">
        <f t="shared" si="18"/>
        <v>736.51213000000644</v>
      </c>
      <c r="Y26" s="1"/>
      <c r="Z26" s="5">
        <f t="shared" si="19"/>
        <v>3.0345583488159838E-2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6">
        <v>885.81</v>
      </c>
      <c r="E27" s="2"/>
      <c r="F27" s="7">
        <f t="shared" si="12"/>
        <v>1.7184237859137395E-2</v>
      </c>
      <c r="G27" s="2"/>
      <c r="H27" s="6">
        <v>342.61892307692301</v>
      </c>
      <c r="I27" s="2"/>
      <c r="J27" s="7">
        <f t="shared" si="13"/>
        <v>1.1489953488612059E-2</v>
      </c>
      <c r="K27" s="2"/>
      <c r="L27" s="6">
        <f t="shared" si="14"/>
        <v>543.19107692307693</v>
      </c>
      <c r="M27" s="2"/>
      <c r="N27" s="7">
        <f t="shared" si="15"/>
        <v>1.5854088619650542</v>
      </c>
      <c r="O27" s="11"/>
      <c r="P27" s="6">
        <v>4678.21</v>
      </c>
      <c r="Q27" s="2"/>
      <c r="R27" s="7">
        <f t="shared" si="16"/>
        <v>1.7530575860311488E-2</v>
      </c>
      <c r="S27" s="2"/>
      <c r="T27" s="6">
        <v>2562.1478699999998</v>
      </c>
      <c r="U27" s="2"/>
      <c r="V27" s="7">
        <f t="shared" si="17"/>
        <v>1.8671553176604332E-2</v>
      </c>
      <c r="W27" s="2"/>
      <c r="X27" s="6">
        <f t="shared" si="18"/>
        <v>2116.0621300000003</v>
      </c>
      <c r="Y27" s="2"/>
      <c r="Z27" s="7">
        <f t="shared" si="19"/>
        <v>0.82589383492530444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730.8</v>
      </c>
      <c r="E28" s="2"/>
      <c r="F28" s="7">
        <f t="shared" si="12"/>
        <v>1.4177127180160089E-2</v>
      </c>
      <c r="G28" s="2"/>
      <c r="H28" s="6">
        <v>606.26443461538497</v>
      </c>
      <c r="I28" s="2"/>
      <c r="J28" s="7">
        <f t="shared" si="13"/>
        <v>2.0331481089754352E-2</v>
      </c>
      <c r="K28" s="2"/>
      <c r="L28" s="6">
        <f t="shared" si="14"/>
        <v>124.53556538461498</v>
      </c>
      <c r="M28" s="2"/>
      <c r="N28" s="7">
        <f t="shared" si="15"/>
        <v>0.20541459843940957</v>
      </c>
      <c r="O28" s="11"/>
      <c r="P28" s="6">
        <v>3824.48</v>
      </c>
      <c r="Q28" s="2"/>
      <c r="R28" s="7">
        <f t="shared" si="16"/>
        <v>1.4331408116831883E-2</v>
      </c>
      <c r="S28" s="2"/>
      <c r="T28" s="6">
        <v>3661.1779000000001</v>
      </c>
      <c r="U28" s="2"/>
      <c r="V28" s="7">
        <f t="shared" si="17"/>
        <v>2.6680691871565784E-2</v>
      </c>
      <c r="W28" s="2"/>
      <c r="X28" s="6">
        <f t="shared" si="18"/>
        <v>163.30209999999988</v>
      </c>
      <c r="Y28" s="2"/>
      <c r="Z28" s="7">
        <f t="shared" si="19"/>
        <v>4.4603705272010921E-2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6">
        <v>2079.61</v>
      </c>
      <c r="E29" s="2"/>
      <c r="F29" s="7">
        <f t="shared" si="12"/>
        <v>4.0343316167395629E-2</v>
      </c>
      <c r="G29" s="2"/>
      <c r="H29" s="6">
        <v>1977</v>
      </c>
      <c r="I29" s="2"/>
      <c r="J29" s="7">
        <f t="shared" si="13"/>
        <v>6.6300010060699549E-2</v>
      </c>
      <c r="K29" s="2"/>
      <c r="L29" s="6">
        <f t="shared" si="14"/>
        <v>102.61000000000013</v>
      </c>
      <c r="M29" s="2"/>
      <c r="N29" s="7">
        <f t="shared" si="15"/>
        <v>5.1901871522508913E-2</v>
      </c>
      <c r="O29" s="11"/>
      <c r="P29" s="6">
        <v>7599.83</v>
      </c>
      <c r="Q29" s="2"/>
      <c r="R29" s="7">
        <f t="shared" si="16"/>
        <v>2.8478712229778283E-2</v>
      </c>
      <c r="S29" s="2"/>
      <c r="T29" s="6">
        <v>11862</v>
      </c>
      <c r="U29" s="2"/>
      <c r="V29" s="7">
        <f t="shared" si="17"/>
        <v>8.6443864686420541E-2</v>
      </c>
      <c r="W29" s="2"/>
      <c r="X29" s="6">
        <f t="shared" si="18"/>
        <v>-4262.17</v>
      </c>
      <c r="Y29" s="2"/>
      <c r="Z29" s="7">
        <f t="shared" si="19"/>
        <v>-0.35931293205193054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52.78</v>
      </c>
      <c r="E30" s="2"/>
      <c r="F30" s="7">
        <f t="shared" si="12"/>
        <v>1.0239036296782287E-3</v>
      </c>
      <c r="G30" s="2"/>
      <c r="H30" s="6">
        <v>33.592488461538501</v>
      </c>
      <c r="I30" s="2"/>
      <c r="J30" s="7">
        <f t="shared" si="13"/>
        <v>1.1265464456064423E-3</v>
      </c>
      <c r="K30" s="2"/>
      <c r="L30" s="6">
        <f t="shared" si="14"/>
        <v>19.1875115384615</v>
      </c>
      <c r="M30" s="2"/>
      <c r="N30" s="7">
        <f t="shared" si="15"/>
        <v>0.57118458373306025</v>
      </c>
      <c r="O30" s="11"/>
      <c r="P30" s="6">
        <v>276.20999999999998</v>
      </c>
      <c r="Q30" s="2"/>
      <c r="R30" s="7">
        <f t="shared" si="16"/>
        <v>1.0350369817465732E-3</v>
      </c>
      <c r="S30" s="2"/>
      <c r="T30" s="6">
        <v>202.8621</v>
      </c>
      <c r="U30" s="2"/>
      <c r="V30" s="7">
        <f t="shared" si="17"/>
        <v>1.4783496815379458E-3</v>
      </c>
      <c r="W30" s="2"/>
      <c r="X30" s="6">
        <f t="shared" si="18"/>
        <v>73.347899999999981</v>
      </c>
      <c r="Y30" s="2"/>
      <c r="Z30" s="7">
        <f t="shared" si="19"/>
        <v>0.36156531949536153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6">
        <v>408.69</v>
      </c>
      <c r="E31" s="2"/>
      <c r="F31" s="7">
        <f t="shared" si="12"/>
        <v>7.9283663208259813E-3</v>
      </c>
      <c r="G31" s="2"/>
      <c r="H31" s="6">
        <v>385.01538461538502</v>
      </c>
      <c r="I31" s="2"/>
      <c r="J31" s="7">
        <f t="shared" si="13"/>
        <v>1.2911747027579228E-2</v>
      </c>
      <c r="K31" s="2"/>
      <c r="L31" s="6">
        <f t="shared" si="14"/>
        <v>23.674615384614981</v>
      </c>
      <c r="M31" s="2"/>
      <c r="N31" s="7">
        <f t="shared" si="15"/>
        <v>6.149005034763734E-2</v>
      </c>
      <c r="O31" s="11"/>
      <c r="P31" s="6">
        <v>2493.0100000000002</v>
      </c>
      <c r="Q31" s="2"/>
      <c r="R31" s="7">
        <f t="shared" si="16"/>
        <v>9.3420134892437806E-3</v>
      </c>
      <c r="S31" s="2"/>
      <c r="T31" s="6">
        <v>2502.6</v>
      </c>
      <c r="U31" s="2"/>
      <c r="V31" s="7">
        <f t="shared" si="17"/>
        <v>1.8237600384777949E-2</v>
      </c>
      <c r="W31" s="2"/>
      <c r="X31" s="6">
        <f t="shared" si="18"/>
        <v>-9.5899999999996908</v>
      </c>
      <c r="Y31" s="2"/>
      <c r="Z31" s="7">
        <f t="shared" si="19"/>
        <v>-3.832014704706981E-3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"6118", " - ", "VACATION")</f>
        <v xml:space="preserve">          6118 - VACATION</v>
      </c>
      <c r="C33" s="11"/>
      <c r="D33" s="6">
        <v>388.4</v>
      </c>
      <c r="E33" s="2"/>
      <c r="F33" s="7">
        <f t="shared" si="12"/>
        <v>7.5347512271129978E-3</v>
      </c>
      <c r="G33" s="2"/>
      <c r="H33" s="6">
        <v>134.30769230769201</v>
      </c>
      <c r="I33" s="2"/>
      <c r="J33" s="7">
        <f t="shared" si="13"/>
        <v>4.5040978003183206E-3</v>
      </c>
      <c r="K33" s="2"/>
      <c r="L33" s="6">
        <f t="shared" si="14"/>
        <v>254.09230769230797</v>
      </c>
      <c r="M33" s="2"/>
      <c r="N33" s="7">
        <f t="shared" si="15"/>
        <v>1.891867124856822</v>
      </c>
      <c r="O33" s="11"/>
      <c r="P33" s="6">
        <v>1961.59</v>
      </c>
      <c r="Q33" s="2"/>
      <c r="R33" s="7">
        <f t="shared" si="16"/>
        <v>7.3506324645170717E-3</v>
      </c>
      <c r="S33" s="2"/>
      <c r="T33" s="6">
        <v>872.99999999999795</v>
      </c>
      <c r="U33" s="2"/>
      <c r="V33" s="7">
        <f t="shared" si="17"/>
        <v>6.3619536225969445E-3</v>
      </c>
      <c r="W33" s="2"/>
      <c r="X33" s="6">
        <f t="shared" si="18"/>
        <v>1088.590000000002</v>
      </c>
      <c r="Y33" s="2"/>
      <c r="Z33" s="7">
        <f t="shared" si="19"/>
        <v>1.2469530355097418</v>
      </c>
    </row>
    <row r="34" spans="1:26" s="24" customFormat="1" hidden="1" outlineLevel="2" x14ac:dyDescent="0.3">
      <c r="A34" s="29"/>
      <c r="B34" s="11" t="str">
        <f>CONCATENATE("          ", "6119", " - ", "SICK LEAVE")</f>
        <v xml:space="preserve">          6119 - SICK LEAVE</v>
      </c>
      <c r="C34" s="11"/>
      <c r="D34" s="6">
        <v>465.33</v>
      </c>
      <c r="E34" s="2"/>
      <c r="F34" s="7">
        <f t="shared" si="12"/>
        <v>9.0271518756758276E-3</v>
      </c>
      <c r="G34" s="2"/>
      <c r="H34" s="6">
        <v>435.12346153846102</v>
      </c>
      <c r="I34" s="2"/>
      <c r="J34" s="7">
        <f t="shared" si="13"/>
        <v>1.4592154718081124E-2</v>
      </c>
      <c r="K34" s="2"/>
      <c r="L34" s="6">
        <f t="shared" si="14"/>
        <v>30.206538461538969</v>
      </c>
      <c r="M34" s="2"/>
      <c r="N34" s="7">
        <f t="shared" si="15"/>
        <v>6.9420615369113994E-2</v>
      </c>
      <c r="O34" s="11"/>
      <c r="P34" s="6">
        <v>2273.37</v>
      </c>
      <c r="Q34" s="2"/>
      <c r="R34" s="7">
        <f t="shared" si="16"/>
        <v>8.5189602954027985E-3</v>
      </c>
      <c r="S34" s="2"/>
      <c r="T34" s="6">
        <v>2607.0300000000002</v>
      </c>
      <c r="U34" s="2"/>
      <c r="V34" s="7">
        <f t="shared" si="17"/>
        <v>1.8998629957295479E-2</v>
      </c>
      <c r="W34" s="2"/>
      <c r="X34" s="6">
        <f t="shared" si="18"/>
        <v>-333.66000000000031</v>
      </c>
      <c r="Y34" s="2"/>
      <c r="Z34" s="7">
        <f t="shared" si="19"/>
        <v>-0.12798471824259799</v>
      </c>
    </row>
    <row r="35" spans="1:26" s="24" customFormat="1" hidden="1" outlineLevel="2" x14ac:dyDescent="0.3">
      <c r="A35" s="29"/>
      <c r="B35" s="11" t="str">
        <f>CONCATENATE("          ", "6156", " - ", "EMPLOYEE MEALS")</f>
        <v xml:space="preserve">          6156 - EMPLOYEE MEALS</v>
      </c>
      <c r="C35" s="11"/>
      <c r="D35" s="6">
        <v>434.42</v>
      </c>
      <c r="E35" s="2"/>
      <c r="F35" s="7">
        <f t="shared" si="12"/>
        <v>8.4275144904284987E-3</v>
      </c>
      <c r="G35" s="2"/>
      <c r="H35" s="6"/>
      <c r="I35" s="2"/>
      <c r="J35" s="7">
        <f t="shared" si="13"/>
        <v>0</v>
      </c>
      <c r="K35" s="2"/>
      <c r="L35" s="6">
        <f t="shared" si="14"/>
        <v>434.42</v>
      </c>
      <c r="M35" s="2"/>
      <c r="N35" s="7">
        <f t="shared" si="15"/>
        <v>0</v>
      </c>
      <c r="O35" s="11"/>
      <c r="P35" s="6">
        <v>1900.63</v>
      </c>
      <c r="Q35" s="2"/>
      <c r="R35" s="7">
        <f t="shared" si="16"/>
        <v>7.1221981051264958E-3</v>
      </c>
      <c r="S35" s="2"/>
      <c r="T35" s="6"/>
      <c r="U35" s="2"/>
      <c r="V35" s="7">
        <f t="shared" si="17"/>
        <v>0</v>
      </c>
      <c r="W35" s="2"/>
      <c r="X35" s="6">
        <f t="shared" si="18"/>
        <v>1900.63</v>
      </c>
      <c r="Y35" s="2"/>
      <c r="Z35" s="7">
        <f t="shared" si="19"/>
        <v>0</v>
      </c>
    </row>
    <row r="36" spans="1:26" s="28" customFormat="1" outlineLevel="1" collapsed="1" x14ac:dyDescent="0.3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19572.45</v>
      </c>
      <c r="E36" s="1"/>
      <c r="F36" s="5">
        <f t="shared" ref="F36:F46" si="20">IF(D$12=0,0,D36/D$12)</f>
        <v>0.37969500941067919</v>
      </c>
      <c r="G36" s="1"/>
      <c r="H36" s="1">
        <f>SUM(OSRRefH22_1x_0)</f>
        <v>15426.991923076919</v>
      </c>
      <c r="I36" s="1"/>
      <c r="J36" s="5">
        <f t="shared" ref="J36:J46" si="21">IF(H$12=0,0,H36/H$12)</f>
        <v>0.51735443586561991</v>
      </c>
      <c r="K36" s="1"/>
      <c r="L36" s="1">
        <f t="shared" ref="L36:L46" si="22">+D36-H36</f>
        <v>4145.4580769230815</v>
      </c>
      <c r="M36" s="1"/>
      <c r="N36" s="5">
        <f t="shared" ref="N36:N46" si="23">IF(H36=0,0,L36/H36)</f>
        <v>0.26871460733196967</v>
      </c>
      <c r="O36" s="14"/>
      <c r="P36" s="1">
        <f>SUM(OSRRefP22_1x_0)</f>
        <v>103507.42</v>
      </c>
      <c r="Q36" s="1"/>
      <c r="R36" s="5">
        <f t="shared" ref="R36:R46" si="24">IF(P$12=0,0,P36/P$12)</f>
        <v>0.38787157447295495</v>
      </c>
      <c r="S36" s="1"/>
      <c r="T36" s="1">
        <f>SUM(OSRRefT22_1x_0)</f>
        <v>93120.97</v>
      </c>
      <c r="U36" s="1"/>
      <c r="V36" s="5">
        <f t="shared" ref="V36:V46" si="25">IF(T$12=0,0,T36/T$12)</f>
        <v>0.67861545524770084</v>
      </c>
      <c r="W36" s="1"/>
      <c r="X36" s="1">
        <f t="shared" ref="X36:X46" si="26">+P36-T36</f>
        <v>10386.449999999997</v>
      </c>
      <c r="Y36" s="1"/>
      <c r="Z36" s="5">
        <f t="shared" ref="Z36:Z46" si="27">IF(T36=0,0,X36/T36)</f>
        <v>0.11153717578328487</v>
      </c>
    </row>
    <row r="37" spans="1:26" s="24" customFormat="1" hidden="1" outlineLevel="2" x14ac:dyDescent="0.3">
      <c r="A37" s="29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9"/>
      <c r="B38" s="11" t="str">
        <f>CONCATENATE("          ", "6002", " - ", "STAFF SALARIES")</f>
        <v xml:space="preserve">          6002 - STAFF SALARIES</v>
      </c>
      <c r="C38" s="11"/>
      <c r="D38" s="6">
        <v>4846.16</v>
      </c>
      <c r="E38" s="2"/>
      <c r="F38" s="7">
        <f t="shared" si="20"/>
        <v>9.4012899090591989E-2</v>
      </c>
      <c r="G38" s="2"/>
      <c r="H38" s="6">
        <v>4253.0769230769201</v>
      </c>
      <c r="I38" s="2"/>
      <c r="J38" s="7">
        <f t="shared" si="21"/>
        <v>0.14262976367674704</v>
      </c>
      <c r="K38" s="2"/>
      <c r="L38" s="6">
        <f t="shared" si="22"/>
        <v>593.08307692307972</v>
      </c>
      <c r="M38" s="2"/>
      <c r="N38" s="7">
        <f t="shared" si="23"/>
        <v>0.13944800144691702</v>
      </c>
      <c r="O38" s="11"/>
      <c r="P38" s="6">
        <v>32038.48</v>
      </c>
      <c r="Q38" s="2"/>
      <c r="R38" s="7">
        <f t="shared" si="24"/>
        <v>0.12005724499094149</v>
      </c>
      <c r="S38" s="2"/>
      <c r="T38" s="6">
        <v>27645</v>
      </c>
      <c r="U38" s="2"/>
      <c r="V38" s="7">
        <f t="shared" si="25"/>
        <v>0.2014618647155704</v>
      </c>
      <c r="W38" s="2"/>
      <c r="X38" s="6">
        <f t="shared" si="26"/>
        <v>4393.4799999999996</v>
      </c>
      <c r="Y38" s="2"/>
      <c r="Z38" s="7">
        <f t="shared" si="27"/>
        <v>0.15892494121902692</v>
      </c>
    </row>
    <row r="39" spans="1:26" s="24" customFormat="1" hidden="1" outlineLevel="2" x14ac:dyDescent="0.3">
      <c r="A39" s="29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"6004", " - ", "STAFF HOURLY")</f>
        <v xml:space="preserve">          6004 - STAFF HOURLY</v>
      </c>
      <c r="C40" s="11"/>
      <c r="D40" s="6">
        <v>3669.9</v>
      </c>
      <c r="E40" s="2"/>
      <c r="F40" s="7">
        <f t="shared" si="20"/>
        <v>7.1194087354227581E-2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3669.9</v>
      </c>
      <c r="M40" s="2"/>
      <c r="N40" s="7">
        <f t="shared" si="23"/>
        <v>0</v>
      </c>
      <c r="O40" s="11"/>
      <c r="P40" s="6">
        <v>11078.73</v>
      </c>
      <c r="Q40" s="2"/>
      <c r="R40" s="7">
        <f t="shared" si="24"/>
        <v>4.1515134357138453E-2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11078.73</v>
      </c>
      <c r="Y40" s="2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"6005", " - ", "TEMPORARY WAGES-HOURLY")</f>
        <v xml:space="preserve">          6005 - TEMPORARY WAGES-HOURLY</v>
      </c>
      <c r="C41" s="11"/>
      <c r="D41" s="6">
        <v>2434.35</v>
      </c>
      <c r="E41" s="2"/>
      <c r="F41" s="7">
        <f t="shared" si="20"/>
        <v>4.7225081487442137E-2</v>
      </c>
      <c r="G41" s="2"/>
      <c r="H41" s="6">
        <v>5590.11</v>
      </c>
      <c r="I41" s="2"/>
      <c r="J41" s="7">
        <f t="shared" si="21"/>
        <v>0.18746805727891611</v>
      </c>
      <c r="K41" s="2"/>
      <c r="L41" s="6">
        <f t="shared" si="22"/>
        <v>-3155.7599999999998</v>
      </c>
      <c r="M41" s="2"/>
      <c r="N41" s="7">
        <f t="shared" si="23"/>
        <v>-0.56452556389766928</v>
      </c>
      <c r="O41" s="11"/>
      <c r="P41" s="6">
        <v>11966.15</v>
      </c>
      <c r="Q41" s="2"/>
      <c r="R41" s="7">
        <f t="shared" si="24"/>
        <v>4.4840548058096216E-2</v>
      </c>
      <c r="S41" s="2"/>
      <c r="T41" s="6">
        <v>33970.370000000003</v>
      </c>
      <c r="U41" s="2"/>
      <c r="V41" s="7">
        <f t="shared" si="25"/>
        <v>0.24755775312996461</v>
      </c>
      <c r="W41" s="2"/>
      <c r="X41" s="6">
        <f t="shared" si="26"/>
        <v>-22004.22</v>
      </c>
      <c r="Y41" s="2"/>
      <c r="Z41" s="7">
        <f t="shared" si="27"/>
        <v>-0.64774743401381851</v>
      </c>
    </row>
    <row r="42" spans="1:26" s="24" customFormat="1" hidden="1" outlineLevel="2" x14ac:dyDescent="0.3">
      <c r="A42" s="29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"6007", " - ", "STUDENT HOURLY")</f>
        <v xml:space="preserve">          6007 - STUDENT HOURLY</v>
      </c>
      <c r="C43" s="11"/>
      <c r="D43" s="6">
        <v>8622.0400000000009</v>
      </c>
      <c r="E43" s="2"/>
      <c r="F43" s="7">
        <f t="shared" si="20"/>
        <v>0.1672629414784175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8622.0400000000009</v>
      </c>
      <c r="M43" s="2"/>
      <c r="N43" s="7">
        <f t="shared" si="23"/>
        <v>0</v>
      </c>
      <c r="O43" s="11"/>
      <c r="P43" s="6">
        <v>48424.06</v>
      </c>
      <c r="Q43" s="2"/>
      <c r="R43" s="7">
        <f t="shared" si="24"/>
        <v>0.18145864706677875</v>
      </c>
      <c r="S43" s="2"/>
      <c r="T43" s="6">
        <v>4247.63</v>
      </c>
      <c r="U43" s="2"/>
      <c r="V43" s="7">
        <f t="shared" si="25"/>
        <v>3.0954438792613431E-2</v>
      </c>
      <c r="W43" s="2"/>
      <c r="X43" s="6">
        <f t="shared" si="26"/>
        <v>44176.43</v>
      </c>
      <c r="Y43" s="2"/>
      <c r="Z43" s="7">
        <f t="shared" si="27"/>
        <v>10.40025378858328</v>
      </c>
    </row>
    <row r="44" spans="1:26" s="24" customFormat="1" hidden="1" outlineLevel="2" x14ac:dyDescent="0.3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5583.8050000000003</v>
      </c>
      <c r="I44" s="2"/>
      <c r="J44" s="7">
        <f t="shared" si="21"/>
        <v>0.18725661490995674</v>
      </c>
      <c r="K44" s="2"/>
      <c r="L44" s="6">
        <f t="shared" si="22"/>
        <v>-5583.8050000000003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27257.97</v>
      </c>
      <c r="U44" s="2"/>
      <c r="V44" s="7">
        <f t="shared" si="25"/>
        <v>0.19864139860955241</v>
      </c>
      <c r="W44" s="2"/>
      <c r="X44" s="6">
        <f t="shared" si="26"/>
        <v>-27257.97</v>
      </c>
      <c r="Y44" s="2"/>
      <c r="Z44" s="7">
        <f t="shared" si="27"/>
        <v>-1</v>
      </c>
    </row>
    <row r="45" spans="1:26" s="24" customFormat="1" hidden="1" outlineLevel="2" x14ac:dyDescent="0.3">
      <c r="A45" s="29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8" customFormat="1" outlineLevel="1" collapsed="1" x14ac:dyDescent="0.3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0</v>
      </c>
      <c r="M47" s="1"/>
      <c r="N47" s="5">
        <f t="shared" ref="N47:N55" si="31">IF(H47=0,0,L47/H47)</f>
        <v>0</v>
      </c>
      <c r="O47" s="14"/>
      <c r="P47" s="1">
        <f>SUM(OSRRefP22_2x_0)</f>
        <v>218.26</v>
      </c>
      <c r="Q47" s="1"/>
      <c r="R47" s="5">
        <f t="shared" ref="R47:R55" si="32">IF(P$12=0,0,P47/P$12)</f>
        <v>8.1788194357918637E-4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218.26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9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218.26</v>
      </c>
      <c r="Q48" s="2"/>
      <c r="R48" s="7">
        <f t="shared" si="32"/>
        <v>8.1788194357918637E-4</v>
      </c>
      <c r="S48" s="2"/>
      <c r="T48" s="6"/>
      <c r="U48" s="2"/>
      <c r="V48" s="7">
        <f t="shared" si="33"/>
        <v>0</v>
      </c>
      <c r="W48" s="2"/>
      <c r="X48" s="6">
        <f t="shared" si="34"/>
        <v>218.26</v>
      </c>
      <c r="Y48" s="2"/>
      <c r="Z48" s="7">
        <f t="shared" si="35"/>
        <v>0</v>
      </c>
    </row>
    <row r="49" spans="1:26" s="28" customFormat="1" outlineLevel="1" collapsed="1" x14ac:dyDescent="0.3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-3.9</v>
      </c>
      <c r="E49" s="1"/>
      <c r="F49" s="5">
        <f t="shared" si="28"/>
        <v>-7.5657903670805081E-5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-3.9</v>
      </c>
      <c r="M49" s="1"/>
      <c r="N49" s="5">
        <f t="shared" si="31"/>
        <v>0</v>
      </c>
      <c r="O49" s="14"/>
      <c r="P49" s="1">
        <f>SUM(OSRRefP22_3x_0)</f>
        <v>-82.66</v>
      </c>
      <c r="Q49" s="1"/>
      <c r="R49" s="5">
        <f t="shared" si="32"/>
        <v>-3.0975039611589634E-4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-82.66</v>
      </c>
      <c r="Y49" s="1"/>
      <c r="Z49" s="5">
        <f t="shared" si="35"/>
        <v>0</v>
      </c>
    </row>
    <row r="50" spans="1:26" s="24" customFormat="1" hidden="1" outlineLevel="2" x14ac:dyDescent="0.3">
      <c r="A50" s="29"/>
      <c r="B50" s="11" t="str">
        <f>CONCATENATE("          ", "6272", " - ", "CASH (OVER/SHORT)")</f>
        <v xml:space="preserve">          6272 - CASH (OVER/SHORT)</v>
      </c>
      <c r="C50" s="11"/>
      <c r="D50" s="6">
        <v>-3.9</v>
      </c>
      <c r="E50" s="2"/>
      <c r="F50" s="7">
        <f t="shared" si="28"/>
        <v>-7.5657903670805081E-5</v>
      </c>
      <c r="G50" s="2"/>
      <c r="H50" s="6"/>
      <c r="I50" s="2"/>
      <c r="J50" s="7">
        <f t="shared" si="29"/>
        <v>0</v>
      </c>
      <c r="K50" s="2"/>
      <c r="L50" s="6">
        <f t="shared" si="30"/>
        <v>-3.9</v>
      </c>
      <c r="M50" s="2"/>
      <c r="N50" s="7">
        <f t="shared" si="31"/>
        <v>0</v>
      </c>
      <c r="O50" s="11"/>
      <c r="P50" s="6">
        <v>-82.66</v>
      </c>
      <c r="Q50" s="2"/>
      <c r="R50" s="7">
        <f t="shared" si="32"/>
        <v>-3.0975039611589634E-4</v>
      </c>
      <c r="S50" s="2"/>
      <c r="T50" s="6"/>
      <c r="U50" s="2"/>
      <c r="V50" s="7">
        <f t="shared" si="33"/>
        <v>0</v>
      </c>
      <c r="W50" s="2"/>
      <c r="X50" s="6">
        <f t="shared" si="34"/>
        <v>-82.66</v>
      </c>
      <c r="Y50" s="2"/>
      <c r="Z50" s="7">
        <f t="shared" si="35"/>
        <v>0</v>
      </c>
    </row>
    <row r="51" spans="1:26" s="28" customFormat="1" outlineLevel="1" collapsed="1" x14ac:dyDescent="0.3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1667.49</v>
      </c>
      <c r="E51" s="1"/>
      <c r="F51" s="5">
        <f t="shared" si="28"/>
        <v>3.2348409690264299E-2</v>
      </c>
      <c r="G51" s="1"/>
      <c r="H51" s="1">
        <f>SUM(OSRRefH22_4x_0)</f>
        <v>1139</v>
      </c>
      <c r="I51" s="1"/>
      <c r="J51" s="5">
        <f t="shared" si="29"/>
        <v>3.8197122639927562E-2</v>
      </c>
      <c r="K51" s="1"/>
      <c r="L51" s="1">
        <f t="shared" si="30"/>
        <v>528.49</v>
      </c>
      <c r="M51" s="1"/>
      <c r="N51" s="5">
        <f t="shared" si="31"/>
        <v>0.46399473222124671</v>
      </c>
      <c r="O51" s="14"/>
      <c r="P51" s="1">
        <f>SUM(OSRRefP22_4x_0)</f>
        <v>9714.69</v>
      </c>
      <c r="Q51" s="1"/>
      <c r="R51" s="5">
        <f t="shared" si="32"/>
        <v>3.6403690728806407E-2</v>
      </c>
      <c r="S51" s="1"/>
      <c r="T51" s="1">
        <f>SUM(OSRRefT22_4x_0)</f>
        <v>5241</v>
      </c>
      <c r="U51" s="1"/>
      <c r="V51" s="5">
        <f t="shared" si="33"/>
        <v>3.8193584119164563E-2</v>
      </c>
      <c r="W51" s="1"/>
      <c r="X51" s="1">
        <f t="shared" si="34"/>
        <v>4473.6900000000005</v>
      </c>
      <c r="Y51" s="1"/>
      <c r="Z51" s="5">
        <f t="shared" si="35"/>
        <v>0.85359473382942197</v>
      </c>
    </row>
    <row r="52" spans="1:26" s="24" customFormat="1" hidden="1" outlineLevel="2" x14ac:dyDescent="0.3">
      <c r="A52" s="29"/>
      <c r="B52" s="11" t="str">
        <f>CONCATENATE("          ", "6381", " - ", "BANK/CREDIT CARD FEES")</f>
        <v xml:space="preserve">          6381 - BANK/CREDIT CARD FEES</v>
      </c>
      <c r="C52" s="11"/>
      <c r="D52" s="6">
        <v>1667.49</v>
      </c>
      <c r="E52" s="2"/>
      <c r="F52" s="7">
        <f t="shared" si="28"/>
        <v>3.2348409690264299E-2</v>
      </c>
      <c r="G52" s="2"/>
      <c r="H52" s="6">
        <v>1139</v>
      </c>
      <c r="I52" s="2"/>
      <c r="J52" s="7">
        <f t="shared" si="29"/>
        <v>3.8197122639927562E-2</v>
      </c>
      <c r="K52" s="2"/>
      <c r="L52" s="6">
        <f t="shared" si="30"/>
        <v>528.49</v>
      </c>
      <c r="M52" s="2"/>
      <c r="N52" s="7">
        <f t="shared" si="31"/>
        <v>0.46399473222124671</v>
      </c>
      <c r="O52" s="11"/>
      <c r="P52" s="6">
        <v>9714.69</v>
      </c>
      <c r="Q52" s="2"/>
      <c r="R52" s="7">
        <f t="shared" si="32"/>
        <v>3.6403690728806407E-2</v>
      </c>
      <c r="S52" s="2"/>
      <c r="T52" s="6">
        <v>5241</v>
      </c>
      <c r="U52" s="2"/>
      <c r="V52" s="7">
        <f t="shared" si="33"/>
        <v>3.8193584119164563E-2</v>
      </c>
      <c r="W52" s="2"/>
      <c r="X52" s="6">
        <f t="shared" si="34"/>
        <v>4473.6900000000005</v>
      </c>
      <c r="Y52" s="2"/>
      <c r="Z52" s="7">
        <f t="shared" si="35"/>
        <v>0.85359473382942197</v>
      </c>
    </row>
    <row r="53" spans="1:26" s="28" customFormat="1" outlineLevel="1" collapsed="1" x14ac:dyDescent="0.3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4626.5</v>
      </c>
      <c r="E53" s="1"/>
      <c r="F53" s="5">
        <f t="shared" si="28"/>
        <v>8.9751613162302485E-2</v>
      </c>
      <c r="G53" s="1"/>
      <c r="H53" s="1">
        <f>SUM(OSRRefH22_5x_0)</f>
        <v>4733</v>
      </c>
      <c r="I53" s="1"/>
      <c r="J53" s="5">
        <f t="shared" si="29"/>
        <v>0.15872430329655587</v>
      </c>
      <c r="K53" s="1"/>
      <c r="L53" s="1">
        <f t="shared" si="30"/>
        <v>-106.5</v>
      </c>
      <c r="M53" s="1"/>
      <c r="N53" s="5">
        <f t="shared" si="31"/>
        <v>-2.2501584618635113E-2</v>
      </c>
      <c r="O53" s="14"/>
      <c r="P53" s="1">
        <f>SUM(OSRRefP22_5x_0)</f>
        <v>27759</v>
      </c>
      <c r="Q53" s="1"/>
      <c r="R53" s="5">
        <f t="shared" si="32"/>
        <v>0.10402082320083678</v>
      </c>
      <c r="S53" s="1"/>
      <c r="T53" s="1">
        <f>SUM(OSRRefT22_5x_0)</f>
        <v>28398</v>
      </c>
      <c r="U53" s="1"/>
      <c r="V53" s="5">
        <f t="shared" si="33"/>
        <v>0.20694932299485505</v>
      </c>
      <c r="W53" s="1"/>
      <c r="X53" s="1">
        <f t="shared" si="34"/>
        <v>-639</v>
      </c>
      <c r="Y53" s="1"/>
      <c r="Z53" s="5">
        <f t="shared" si="35"/>
        <v>-2.2501584618635113E-2</v>
      </c>
    </row>
    <row r="54" spans="1:26" s="24" customFormat="1" hidden="1" outlineLevel="2" x14ac:dyDescent="0.3">
      <c r="A54" s="29"/>
      <c r="B54" s="11" t="str">
        <f>CONCATENATE("          ", "6321", " - ", "BUILDING DEPRECIATION")</f>
        <v xml:space="preserve">          6321 - BUILDING DEPRECIATION</v>
      </c>
      <c r="C54" s="11"/>
      <c r="D54" s="6">
        <v>4626.5</v>
      </c>
      <c r="E54" s="2"/>
      <c r="F54" s="7">
        <f t="shared" si="28"/>
        <v>8.9751613162302485E-2</v>
      </c>
      <c r="G54" s="2"/>
      <c r="H54" s="6"/>
      <c r="I54" s="2"/>
      <c r="J54" s="7">
        <f t="shared" si="29"/>
        <v>0</v>
      </c>
      <c r="K54" s="2"/>
      <c r="L54" s="6">
        <f t="shared" si="30"/>
        <v>4626.5</v>
      </c>
      <c r="M54" s="2"/>
      <c r="N54" s="7">
        <f t="shared" si="31"/>
        <v>0</v>
      </c>
      <c r="O54" s="11"/>
      <c r="P54" s="6">
        <v>27759</v>
      </c>
      <c r="Q54" s="2"/>
      <c r="R54" s="7">
        <f t="shared" si="32"/>
        <v>0.10402082320083678</v>
      </c>
      <c r="S54" s="2"/>
      <c r="T54" s="6"/>
      <c r="U54" s="2"/>
      <c r="V54" s="7">
        <f t="shared" si="33"/>
        <v>0</v>
      </c>
      <c r="W54" s="2"/>
      <c r="X54" s="6">
        <f t="shared" si="34"/>
        <v>27759</v>
      </c>
      <c r="Y54" s="2"/>
      <c r="Z54" s="7">
        <f t="shared" si="35"/>
        <v>0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/>
      <c r="E55" s="2"/>
      <c r="F55" s="7">
        <f t="shared" si="28"/>
        <v>0</v>
      </c>
      <c r="G55" s="2"/>
      <c r="H55" s="6">
        <v>4733</v>
      </c>
      <c r="I55" s="2"/>
      <c r="J55" s="7">
        <f t="shared" si="29"/>
        <v>0.15872430329655587</v>
      </c>
      <c r="K55" s="2"/>
      <c r="L55" s="6">
        <f t="shared" si="30"/>
        <v>-4733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28398</v>
      </c>
      <c r="U55" s="2"/>
      <c r="V55" s="7">
        <f t="shared" si="33"/>
        <v>0.20694932299485505</v>
      </c>
      <c r="W55" s="2"/>
      <c r="X55" s="6">
        <f t="shared" si="34"/>
        <v>-28398</v>
      </c>
      <c r="Y55" s="2"/>
      <c r="Z55" s="7">
        <f t="shared" si="35"/>
        <v>-1</v>
      </c>
    </row>
    <row r="56" spans="1:26" s="28" customFormat="1" outlineLevel="1" collapsed="1" x14ac:dyDescent="0.3">
      <c r="A56" s="27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173.7</v>
      </c>
      <c r="E56" s="1"/>
      <c r="F56" s="5">
        <f t="shared" ref="F56:F64" si="36">IF(D$12=0,0,D56/D$12)</f>
        <v>3.3696866327227798E-3</v>
      </c>
      <c r="G56" s="1"/>
      <c r="H56" s="1">
        <f>SUM(OSRRefH22_6x_0)</f>
        <v>20</v>
      </c>
      <c r="I56" s="1"/>
      <c r="J56" s="5">
        <f t="shared" ref="J56:J64" si="37">IF(H$12=0,0,H56/H$12)</f>
        <v>6.7071330359837688E-4</v>
      </c>
      <c r="K56" s="1"/>
      <c r="L56" s="1">
        <f t="shared" ref="L56:L64" si="38">+D56-H56</f>
        <v>153.69999999999999</v>
      </c>
      <c r="M56" s="1"/>
      <c r="N56" s="5">
        <f t="shared" ref="N56:N64" si="39">IF(H56=0,0,L56/H56)</f>
        <v>7.6849999999999996</v>
      </c>
      <c r="O56" s="14"/>
      <c r="P56" s="1">
        <f>SUM(OSRRefP22_6x_0)</f>
        <v>246.92</v>
      </c>
      <c r="Q56" s="1"/>
      <c r="R56" s="5">
        <f t="shared" ref="R56:R64" si="40">IF(P$12=0,0,P56/P$12)</f>
        <v>9.2527906858138318E-4</v>
      </c>
      <c r="S56" s="1"/>
      <c r="T56" s="1">
        <f>SUM(OSRRefT22_6x_0)</f>
        <v>80</v>
      </c>
      <c r="U56" s="1"/>
      <c r="V56" s="5">
        <f t="shared" ref="V56:V64" si="41">IF(T$12=0,0,T56/T$12)</f>
        <v>5.8299689554153124E-4</v>
      </c>
      <c r="W56" s="1"/>
      <c r="X56" s="1">
        <f t="shared" ref="X56:X64" si="42">+P56-T56</f>
        <v>166.92</v>
      </c>
      <c r="Y56" s="1"/>
      <c r="Z56" s="5">
        <f t="shared" ref="Z56:Z64" si="43">IF(T56=0,0,X56/T56)</f>
        <v>2.0865</v>
      </c>
    </row>
    <row r="57" spans="1:26" s="24" customFormat="1" hidden="1" outlineLevel="2" x14ac:dyDescent="0.3">
      <c r="A57" s="29"/>
      <c r="B57" s="11" t="str">
        <f>CONCATENATE("          ", "6277", " - ", "EMPLOYEE APPRECIATION")</f>
        <v xml:space="preserve">          6277 - EMPLOYEE APPRECIATION</v>
      </c>
      <c r="C57" s="11"/>
      <c r="D57" s="6">
        <v>173.7</v>
      </c>
      <c r="E57" s="2"/>
      <c r="F57" s="7">
        <f t="shared" si="36"/>
        <v>3.3696866327227798E-3</v>
      </c>
      <c r="G57" s="2"/>
      <c r="H57" s="6">
        <v>20</v>
      </c>
      <c r="I57" s="2"/>
      <c r="J57" s="7">
        <f t="shared" si="37"/>
        <v>6.7071330359837688E-4</v>
      </c>
      <c r="K57" s="2"/>
      <c r="L57" s="6">
        <f t="shared" si="38"/>
        <v>153.69999999999999</v>
      </c>
      <c r="M57" s="2"/>
      <c r="N57" s="7">
        <f t="shared" si="39"/>
        <v>7.6849999999999996</v>
      </c>
      <c r="O57" s="11"/>
      <c r="P57" s="6">
        <v>246.92</v>
      </c>
      <c r="Q57" s="2"/>
      <c r="R57" s="7">
        <f t="shared" si="40"/>
        <v>9.2527906858138318E-4</v>
      </c>
      <c r="S57" s="2"/>
      <c r="T57" s="6">
        <v>80</v>
      </c>
      <c r="U57" s="2"/>
      <c r="V57" s="7">
        <f t="shared" si="41"/>
        <v>5.8299689554153124E-4</v>
      </c>
      <c r="W57" s="2"/>
      <c r="X57" s="6">
        <f t="shared" si="42"/>
        <v>166.92</v>
      </c>
      <c r="Y57" s="2"/>
      <c r="Z57" s="7">
        <f t="shared" si="43"/>
        <v>2.0865</v>
      </c>
    </row>
    <row r="58" spans="1:26" s="28" customFormat="1" outlineLevel="1" collapsed="1" x14ac:dyDescent="0.3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6</v>
      </c>
      <c r="E58" s="1"/>
      <c r="F58" s="5">
        <f t="shared" si="36"/>
        <v>1.1639677487816166E-4</v>
      </c>
      <c r="G58" s="1"/>
      <c r="H58" s="1">
        <f>SUM(OSRRefH22_7x_0)</f>
        <v>500</v>
      </c>
      <c r="I58" s="1"/>
      <c r="J58" s="5">
        <f t="shared" si="37"/>
        <v>1.6767832589959421E-2</v>
      </c>
      <c r="K58" s="1"/>
      <c r="L58" s="1">
        <f t="shared" si="38"/>
        <v>-494</v>
      </c>
      <c r="M58" s="1"/>
      <c r="N58" s="5">
        <f t="shared" si="39"/>
        <v>-0.98799999999999999</v>
      </c>
      <c r="O58" s="14"/>
      <c r="P58" s="1">
        <f>SUM(OSRRefP22_7x_0)</f>
        <v>1893.3</v>
      </c>
      <c r="Q58" s="1"/>
      <c r="R58" s="5">
        <f t="shared" si="40"/>
        <v>7.0947305222142099E-3</v>
      </c>
      <c r="S58" s="1"/>
      <c r="T58" s="1">
        <f>SUM(OSRRefT22_7x_0)</f>
        <v>500</v>
      </c>
      <c r="U58" s="1"/>
      <c r="V58" s="5">
        <f t="shared" si="41"/>
        <v>3.6437305971345701E-3</v>
      </c>
      <c r="W58" s="1"/>
      <c r="X58" s="1">
        <f t="shared" si="42"/>
        <v>1393.3</v>
      </c>
      <c r="Y58" s="1"/>
      <c r="Z58" s="5">
        <f t="shared" si="43"/>
        <v>2.7866</v>
      </c>
    </row>
    <row r="59" spans="1:26" s="24" customFormat="1" hidden="1" outlineLevel="2" x14ac:dyDescent="0.3">
      <c r="A59" s="29"/>
      <c r="B59" s="11" t="str">
        <f>CONCATENATE("          ", "6279", " - ", "GENERAL EXPENSE")</f>
        <v xml:space="preserve">          6279 - GENERAL EXPENSE</v>
      </c>
      <c r="C59" s="11"/>
      <c r="D59" s="6">
        <v>6</v>
      </c>
      <c r="E59" s="2"/>
      <c r="F59" s="7">
        <f t="shared" si="36"/>
        <v>1.1639677487816166E-4</v>
      </c>
      <c r="G59" s="2"/>
      <c r="H59" s="6">
        <v>500</v>
      </c>
      <c r="I59" s="2"/>
      <c r="J59" s="7">
        <f t="shared" si="37"/>
        <v>1.6767832589959421E-2</v>
      </c>
      <c r="K59" s="2"/>
      <c r="L59" s="6">
        <f t="shared" si="38"/>
        <v>-494</v>
      </c>
      <c r="M59" s="2"/>
      <c r="N59" s="7">
        <f t="shared" si="39"/>
        <v>-0.98799999999999999</v>
      </c>
      <c r="O59" s="11"/>
      <c r="P59" s="6">
        <v>1893.3</v>
      </c>
      <c r="Q59" s="2"/>
      <c r="R59" s="7">
        <f t="shared" si="40"/>
        <v>7.0947305222142099E-3</v>
      </c>
      <c r="S59" s="2"/>
      <c r="T59" s="6">
        <v>500</v>
      </c>
      <c r="U59" s="2"/>
      <c r="V59" s="7">
        <f t="shared" si="41"/>
        <v>3.6437305971345701E-3</v>
      </c>
      <c r="W59" s="2"/>
      <c r="X59" s="6">
        <f t="shared" si="42"/>
        <v>1393.3</v>
      </c>
      <c r="Y59" s="2"/>
      <c r="Z59" s="7">
        <f t="shared" si="43"/>
        <v>2.7866</v>
      </c>
    </row>
    <row r="60" spans="1:26" s="28" customFormat="1" outlineLevel="1" collapsed="1" x14ac:dyDescent="0.3">
      <c r="A60" s="27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SUM(OSRRefD22_8x_0)</f>
        <v>1850</v>
      </c>
      <c r="E60" s="1"/>
      <c r="F60" s="5">
        <f t="shared" si="36"/>
        <v>3.588900558743318E-2</v>
      </c>
      <c r="G60" s="1"/>
      <c r="H60" s="1">
        <f>SUM(OSRRefH22_8x_0)</f>
        <v>1850</v>
      </c>
      <c r="I60" s="1"/>
      <c r="J60" s="5">
        <f t="shared" si="37"/>
        <v>6.2040980582849861E-2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SUM(OSRRefP22_8x_0)</f>
        <v>11100</v>
      </c>
      <c r="Q60" s="1"/>
      <c r="R60" s="5">
        <f t="shared" si="40"/>
        <v>4.1594839062260462E-2</v>
      </c>
      <c r="S60" s="1"/>
      <c r="T60" s="1">
        <f>SUM(OSRRefT22_8x_0)</f>
        <v>11100</v>
      </c>
      <c r="U60" s="1"/>
      <c r="V60" s="5">
        <f t="shared" si="41"/>
        <v>8.0890819256387456E-2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3">
      <c r="A61" s="29"/>
      <c r="B61" s="11" t="str">
        <f>CONCATENATE("          ", "6273", " - ", "RENT")</f>
        <v xml:space="preserve">          6273 - RENT</v>
      </c>
      <c r="C61" s="11"/>
      <c r="D61" s="6">
        <v>1850</v>
      </c>
      <c r="E61" s="2"/>
      <c r="F61" s="7">
        <f t="shared" si="36"/>
        <v>3.588900558743318E-2</v>
      </c>
      <c r="G61" s="2"/>
      <c r="H61" s="6">
        <v>1850</v>
      </c>
      <c r="I61" s="2"/>
      <c r="J61" s="7">
        <f t="shared" si="37"/>
        <v>6.2040980582849861E-2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11100</v>
      </c>
      <c r="Q61" s="2"/>
      <c r="R61" s="7">
        <f t="shared" si="40"/>
        <v>4.1594839062260462E-2</v>
      </c>
      <c r="S61" s="2"/>
      <c r="T61" s="6">
        <v>11100</v>
      </c>
      <c r="U61" s="2"/>
      <c r="V61" s="7">
        <f t="shared" si="41"/>
        <v>8.0890819256387456E-2</v>
      </c>
      <c r="W61" s="2"/>
      <c r="X61" s="6">
        <f t="shared" si="42"/>
        <v>0</v>
      </c>
      <c r="Y61" s="2"/>
      <c r="Z61" s="7">
        <f t="shared" si="43"/>
        <v>0</v>
      </c>
    </row>
    <row r="62" spans="1:26" s="28" customFormat="1" outlineLevel="1" collapsed="1" x14ac:dyDescent="0.3">
      <c r="A62" s="27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SUM(OSRRefD22_9x_0)</f>
        <v>493.99</v>
      </c>
      <c r="E62" s="1"/>
      <c r="F62" s="5">
        <f t="shared" si="36"/>
        <v>9.5831404703438459E-3</v>
      </c>
      <c r="G62" s="1"/>
      <c r="H62" s="1">
        <f>SUM(OSRRefH22_9x_0)</f>
        <v>500</v>
      </c>
      <c r="I62" s="1"/>
      <c r="J62" s="5">
        <f t="shared" si="37"/>
        <v>1.6767832589959421E-2</v>
      </c>
      <c r="K62" s="1"/>
      <c r="L62" s="1">
        <f t="shared" si="38"/>
        <v>-6.0099999999999909</v>
      </c>
      <c r="M62" s="1"/>
      <c r="N62" s="5">
        <f t="shared" si="39"/>
        <v>-1.2019999999999982E-2</v>
      </c>
      <c r="O62" s="14"/>
      <c r="P62" s="1">
        <f>SUM(OSRRefP22_9x_0)</f>
        <v>3675.98</v>
      </c>
      <c r="Q62" s="1"/>
      <c r="R62" s="5">
        <f t="shared" si="40"/>
        <v>1.3774936621269208E-2</v>
      </c>
      <c r="S62" s="1"/>
      <c r="T62" s="1">
        <f>SUM(OSRRefT22_9x_0)</f>
        <v>3300</v>
      </c>
      <c r="U62" s="1"/>
      <c r="V62" s="5">
        <f t="shared" si="41"/>
        <v>2.4048621941088165E-2</v>
      </c>
      <c r="W62" s="1"/>
      <c r="X62" s="1">
        <f t="shared" si="42"/>
        <v>375.98</v>
      </c>
      <c r="Y62" s="1"/>
      <c r="Z62" s="5">
        <f t="shared" si="43"/>
        <v>0.11393333333333334</v>
      </c>
    </row>
    <row r="63" spans="1:26" s="24" customFormat="1" hidden="1" outlineLevel="2" x14ac:dyDescent="0.3">
      <c r="A63" s="29"/>
      <c r="B63" s="11" t="str">
        <f>CONCATENATE("          ", "6373", " - ", "MAINTENANCE CONTRACTS")</f>
        <v xml:space="preserve">          6373 - MAINTENANCE CONTRACTS</v>
      </c>
      <c r="C63" s="11"/>
      <c r="D63" s="6">
        <v>74.89</v>
      </c>
      <c r="E63" s="2"/>
      <c r="F63" s="7">
        <f t="shared" si="36"/>
        <v>1.4528257451042544E-3</v>
      </c>
      <c r="G63" s="2"/>
      <c r="H63" s="6"/>
      <c r="I63" s="2"/>
      <c r="J63" s="7">
        <f t="shared" si="37"/>
        <v>0</v>
      </c>
      <c r="K63" s="2"/>
      <c r="L63" s="6">
        <f t="shared" si="38"/>
        <v>74.89</v>
      </c>
      <c r="M63" s="2"/>
      <c r="N63" s="7">
        <f t="shared" si="39"/>
        <v>0</v>
      </c>
      <c r="O63" s="11"/>
      <c r="P63" s="6">
        <v>146.75</v>
      </c>
      <c r="Q63" s="2"/>
      <c r="R63" s="7">
        <f t="shared" si="40"/>
        <v>5.499137506654705E-4</v>
      </c>
      <c r="S63" s="2"/>
      <c r="T63" s="6">
        <v>300</v>
      </c>
      <c r="U63" s="2"/>
      <c r="V63" s="7">
        <f t="shared" si="41"/>
        <v>2.186238358280742E-3</v>
      </c>
      <c r="W63" s="2"/>
      <c r="X63" s="6">
        <f t="shared" si="42"/>
        <v>-153.25</v>
      </c>
      <c r="Y63" s="2"/>
      <c r="Z63" s="7">
        <f t="shared" si="43"/>
        <v>-0.51083333333333336</v>
      </c>
    </row>
    <row r="64" spans="1:26" s="24" customFormat="1" hidden="1" outlineLevel="2" x14ac:dyDescent="0.3">
      <c r="A64" s="29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419.1</v>
      </c>
      <c r="E64" s="2"/>
      <c r="F64" s="7">
        <f t="shared" si="36"/>
        <v>8.1303147252395919E-3</v>
      </c>
      <c r="G64" s="2"/>
      <c r="H64" s="6">
        <v>500</v>
      </c>
      <c r="I64" s="2"/>
      <c r="J64" s="7">
        <f t="shared" si="37"/>
        <v>1.6767832589959421E-2</v>
      </c>
      <c r="K64" s="2"/>
      <c r="L64" s="6">
        <f t="shared" si="38"/>
        <v>-80.899999999999977</v>
      </c>
      <c r="M64" s="2"/>
      <c r="N64" s="7">
        <f t="shared" si="39"/>
        <v>-0.16179999999999994</v>
      </c>
      <c r="O64" s="11"/>
      <c r="P64" s="6">
        <v>3529.23</v>
      </c>
      <c r="Q64" s="2"/>
      <c r="R64" s="7">
        <f t="shared" si="40"/>
        <v>1.3225022870603738E-2</v>
      </c>
      <c r="S64" s="2"/>
      <c r="T64" s="6">
        <v>3000</v>
      </c>
      <c r="U64" s="2"/>
      <c r="V64" s="7">
        <f t="shared" si="41"/>
        <v>2.1862383582807423E-2</v>
      </c>
      <c r="W64" s="2"/>
      <c r="X64" s="6">
        <f t="shared" si="42"/>
        <v>529.23</v>
      </c>
      <c r="Y64" s="2"/>
      <c r="Z64" s="7">
        <f t="shared" si="43"/>
        <v>0.17641000000000001</v>
      </c>
    </row>
    <row r="65" spans="1:26" s="28" customFormat="1" outlineLevel="1" collapsed="1" x14ac:dyDescent="0.3">
      <c r="A65" s="27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SUM(OSRRefD22_10x_0)</f>
        <v>851.3</v>
      </c>
      <c r="E65" s="1"/>
      <c r="F65" s="5">
        <f t="shared" ref="F65:F69" si="44">IF(D$12=0,0,D65/D$12)</f>
        <v>1.6514762408963168E-2</v>
      </c>
      <c r="G65" s="1"/>
      <c r="H65" s="1">
        <f>SUM(OSRRefH22_10x_0)</f>
        <v>2263</v>
      </c>
      <c r="I65" s="1"/>
      <c r="J65" s="5">
        <f t="shared" ref="J65:J69" si="45">IF(H$12=0,0,H65/H$12)</f>
        <v>7.5891210302156342E-2</v>
      </c>
      <c r="K65" s="1"/>
      <c r="L65" s="1">
        <f t="shared" ref="L65:L69" si="46">+D65-H65</f>
        <v>-1411.7</v>
      </c>
      <c r="M65" s="1"/>
      <c r="N65" s="5">
        <f t="shared" ref="N65:N69" si="47">IF(H65=0,0,L65/H65)</f>
        <v>-0.62381794078656649</v>
      </c>
      <c r="O65" s="14"/>
      <c r="P65" s="1">
        <f>SUM(OSRRefP22_10x_0)</f>
        <v>4851.2999999999993</v>
      </c>
      <c r="Q65" s="1"/>
      <c r="R65" s="5">
        <f t="shared" ref="R65:R69" si="48">IF(P$12=0,0,P65/P$12)</f>
        <v>1.8179193039886861E-2</v>
      </c>
      <c r="S65" s="1"/>
      <c r="T65" s="1">
        <f>SUM(OSRRefT22_10x_0)</f>
        <v>11415</v>
      </c>
      <c r="U65" s="1"/>
      <c r="V65" s="5">
        <f t="shared" ref="V65:V69" si="49">IF(T$12=0,0,T65/T$12)</f>
        <v>8.3186369532582238E-2</v>
      </c>
      <c r="W65" s="1"/>
      <c r="X65" s="1">
        <f t="shared" ref="X65:X69" si="50">+P65-T65</f>
        <v>-6563.7000000000007</v>
      </c>
      <c r="Y65" s="1"/>
      <c r="Z65" s="5">
        <f t="shared" ref="Z65:Z69" si="51">IF(T65=0,0,X65/T65)</f>
        <v>-0.57500657030223401</v>
      </c>
    </row>
    <row r="66" spans="1:26" s="24" customFormat="1" hidden="1" outlineLevel="2" x14ac:dyDescent="0.3">
      <c r="A66" s="29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388</v>
      </c>
      <c r="E66" s="2"/>
      <c r="F66" s="7">
        <f t="shared" si="44"/>
        <v>7.5269914421211203E-3</v>
      </c>
      <c r="G66" s="2"/>
      <c r="H66" s="6">
        <v>150</v>
      </c>
      <c r="I66" s="2"/>
      <c r="J66" s="7">
        <f t="shared" si="45"/>
        <v>5.0303497769878264E-3</v>
      </c>
      <c r="K66" s="2"/>
      <c r="L66" s="6">
        <f t="shared" si="46"/>
        <v>238</v>
      </c>
      <c r="M66" s="2"/>
      <c r="N66" s="7">
        <f t="shared" si="47"/>
        <v>1.5866666666666667</v>
      </c>
      <c r="O66" s="11"/>
      <c r="P66" s="6">
        <v>451.86</v>
      </c>
      <c r="Q66" s="2"/>
      <c r="R66" s="7">
        <f t="shared" si="48"/>
        <v>1.693247205285857E-3</v>
      </c>
      <c r="S66" s="2"/>
      <c r="T66" s="6">
        <v>800</v>
      </c>
      <c r="U66" s="2"/>
      <c r="V66" s="7">
        <f t="shared" si="49"/>
        <v>5.8299689554153124E-3</v>
      </c>
      <c r="W66" s="2"/>
      <c r="X66" s="6">
        <f t="shared" si="50"/>
        <v>-348.14</v>
      </c>
      <c r="Y66" s="2"/>
      <c r="Z66" s="7">
        <f t="shared" si="51"/>
        <v>-0.43517499999999998</v>
      </c>
    </row>
    <row r="67" spans="1:26" s="24" customFormat="1" hidden="1" outlineLevel="2" x14ac:dyDescent="0.3">
      <c r="A67" s="29"/>
      <c r="B67" s="11" t="str">
        <f>CONCATENATE("          ", "6284", " - ", "TRASH REMOVAL EXPENSE")</f>
        <v xml:space="preserve">          6284 - TRASH REMOVAL EXPENSE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0</v>
      </c>
      <c r="U67" s="2"/>
      <c r="V67" s="7">
        <f t="shared" si="49"/>
        <v>0</v>
      </c>
      <c r="W67" s="2"/>
      <c r="X67" s="6">
        <f t="shared" si="50"/>
        <v>0</v>
      </c>
      <c r="Y67" s="2"/>
      <c r="Z67" s="7">
        <f t="shared" si="51"/>
        <v>0</v>
      </c>
    </row>
    <row r="68" spans="1:26" s="24" customFormat="1" hidden="1" outlineLevel="2" x14ac:dyDescent="0.3">
      <c r="A68" s="29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44"/>
        <v>0</v>
      </c>
      <c r="G68" s="2"/>
      <c r="H68" s="6">
        <v>2083</v>
      </c>
      <c r="I68" s="2"/>
      <c r="J68" s="7">
        <f t="shared" si="45"/>
        <v>6.9854790569770953E-2</v>
      </c>
      <c r="K68" s="2"/>
      <c r="L68" s="6">
        <f t="shared" si="46"/>
        <v>-2083</v>
      </c>
      <c r="M68" s="2"/>
      <c r="N68" s="7">
        <f t="shared" si="47"/>
        <v>-1</v>
      </c>
      <c r="O68" s="11"/>
      <c r="P68" s="6">
        <v>3660</v>
      </c>
      <c r="Q68" s="2"/>
      <c r="R68" s="7">
        <f t="shared" si="48"/>
        <v>1.3715055042150747E-2</v>
      </c>
      <c r="S68" s="2"/>
      <c r="T68" s="6">
        <v>10415</v>
      </c>
      <c r="U68" s="2"/>
      <c r="V68" s="7">
        <f t="shared" si="49"/>
        <v>7.5898908338313101E-2</v>
      </c>
      <c r="W68" s="2"/>
      <c r="X68" s="6">
        <f t="shared" si="50"/>
        <v>-6755</v>
      </c>
      <c r="Y68" s="2"/>
      <c r="Z68" s="7">
        <f t="shared" si="51"/>
        <v>-0.64858377340374462</v>
      </c>
    </row>
    <row r="69" spans="1:26" s="24" customFormat="1" hidden="1" outlineLevel="2" x14ac:dyDescent="0.3">
      <c r="A69" s="29"/>
      <c r="B69" s="11" t="str">
        <f>CONCATENATE("          ", "6286", " - ", "LAUNDRY EXPENSE")</f>
        <v xml:space="preserve">          6286 - LAUNDRY EXPENSE</v>
      </c>
      <c r="C69" s="11"/>
      <c r="D69" s="6">
        <v>463.3</v>
      </c>
      <c r="E69" s="2"/>
      <c r="F69" s="7">
        <f t="shared" si="44"/>
        <v>8.98777096684205E-3</v>
      </c>
      <c r="G69" s="2"/>
      <c r="H69" s="6">
        <v>30</v>
      </c>
      <c r="I69" s="2"/>
      <c r="J69" s="7">
        <f t="shared" si="45"/>
        <v>1.0060699553975654E-3</v>
      </c>
      <c r="K69" s="2"/>
      <c r="L69" s="6">
        <f t="shared" si="46"/>
        <v>433.3</v>
      </c>
      <c r="M69" s="2"/>
      <c r="N69" s="7">
        <f t="shared" si="47"/>
        <v>14.443333333333333</v>
      </c>
      <c r="O69" s="11"/>
      <c r="P69" s="6">
        <v>739.44</v>
      </c>
      <c r="Q69" s="2"/>
      <c r="R69" s="7">
        <f t="shared" si="48"/>
        <v>2.7708907924502593E-3</v>
      </c>
      <c r="S69" s="2"/>
      <c r="T69" s="6">
        <v>200</v>
      </c>
      <c r="U69" s="2"/>
      <c r="V69" s="7">
        <f t="shared" si="49"/>
        <v>1.4574922388538281E-3</v>
      </c>
      <c r="W69" s="2"/>
      <c r="X69" s="6">
        <f t="shared" si="50"/>
        <v>539.44000000000005</v>
      </c>
      <c r="Y69" s="2"/>
      <c r="Z69" s="7">
        <f t="shared" si="51"/>
        <v>2.6972000000000005</v>
      </c>
    </row>
    <row r="70" spans="1:26" s="28" customFormat="1" outlineLevel="1" collapsed="1" x14ac:dyDescent="0.3">
      <c r="A70" s="27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SUM(OSRRefD22_11x_0)</f>
        <v>17.95</v>
      </c>
      <c r="E70" s="1"/>
      <c r="F70" s="5">
        <f t="shared" ref="F70:F80" si="52">IF(D$12=0,0,D70/D$12)</f>
        <v>3.4822035151050028E-4</v>
      </c>
      <c r="G70" s="1"/>
      <c r="H70" s="1">
        <f>SUM(OSRRefH22_11x_0)</f>
        <v>30</v>
      </c>
      <c r="I70" s="1"/>
      <c r="J70" s="5">
        <f t="shared" ref="J70:J80" si="53">IF(H$12=0,0,H70/H$12)</f>
        <v>1.0060699553975654E-3</v>
      </c>
      <c r="K70" s="1"/>
      <c r="L70" s="1">
        <f t="shared" ref="L70:L80" si="54">+D70-H70</f>
        <v>-12.05</v>
      </c>
      <c r="M70" s="1"/>
      <c r="N70" s="5">
        <f t="shared" ref="N70:N80" si="55">IF(H70=0,0,L70/H70)</f>
        <v>-0.40166666666666667</v>
      </c>
      <c r="O70" s="14"/>
      <c r="P70" s="1">
        <f>SUM(OSRRefP22_11x_0)</f>
        <v>235.89</v>
      </c>
      <c r="Q70" s="1"/>
      <c r="R70" s="5">
        <f t="shared" ref="R70:R80" si="56">IF(P$12=0,0,P70/P$12)</f>
        <v>8.8394653931501076E-4</v>
      </c>
      <c r="S70" s="1"/>
      <c r="T70" s="1">
        <f>SUM(OSRRefT22_11x_0)</f>
        <v>150</v>
      </c>
      <c r="U70" s="1"/>
      <c r="V70" s="5">
        <f t="shared" ref="V70:V80" si="57">IF(T$12=0,0,T70/T$12)</f>
        <v>1.093119179140371E-3</v>
      </c>
      <c r="W70" s="1"/>
      <c r="X70" s="1">
        <f t="shared" ref="X70:X80" si="58">+P70-T70</f>
        <v>85.889999999999986</v>
      </c>
      <c r="Y70" s="1"/>
      <c r="Z70" s="5">
        <f t="shared" ref="Z70:Z80" si="59">IF(T70=0,0,X70/T70)</f>
        <v>0.57259999999999989</v>
      </c>
    </row>
    <row r="71" spans="1:26" s="24" customFormat="1" hidden="1" outlineLevel="2" x14ac:dyDescent="0.3">
      <c r="A71" s="29"/>
      <c r="B71" s="11" t="str">
        <f>CONCATENATE("          ", "6275", " - ", "SUBSCRIPTIONS")</f>
        <v xml:space="preserve">          6275 - SUBSCRIPTIONS</v>
      </c>
      <c r="C71" s="11"/>
      <c r="D71" s="6">
        <v>17.95</v>
      </c>
      <c r="E71" s="2"/>
      <c r="F71" s="7">
        <f t="shared" si="52"/>
        <v>3.4822035151050028E-4</v>
      </c>
      <c r="G71" s="2"/>
      <c r="H71" s="6">
        <v>30</v>
      </c>
      <c r="I71" s="2"/>
      <c r="J71" s="7">
        <f t="shared" si="53"/>
        <v>1.0060699553975654E-3</v>
      </c>
      <c r="K71" s="2"/>
      <c r="L71" s="6">
        <f t="shared" si="54"/>
        <v>-12.05</v>
      </c>
      <c r="M71" s="2"/>
      <c r="N71" s="7">
        <f t="shared" si="55"/>
        <v>-0.40166666666666667</v>
      </c>
      <c r="O71" s="11"/>
      <c r="P71" s="6">
        <v>235.89</v>
      </c>
      <c r="Q71" s="2"/>
      <c r="R71" s="7">
        <f t="shared" si="56"/>
        <v>8.8394653931501076E-4</v>
      </c>
      <c r="S71" s="2"/>
      <c r="T71" s="6">
        <v>150</v>
      </c>
      <c r="U71" s="2"/>
      <c r="V71" s="7">
        <f t="shared" si="57"/>
        <v>1.093119179140371E-3</v>
      </c>
      <c r="W71" s="2"/>
      <c r="X71" s="6">
        <f t="shared" si="58"/>
        <v>85.889999999999986</v>
      </c>
      <c r="Y71" s="2"/>
      <c r="Z71" s="7">
        <f t="shared" si="59"/>
        <v>0.57259999999999989</v>
      </c>
    </row>
    <row r="72" spans="1:26" s="28" customFormat="1" outlineLevel="1" collapsed="1" x14ac:dyDescent="0.3">
      <c r="A72" s="27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SUM(OSRRefD22_12x_0)</f>
        <v>574.30999999999995</v>
      </c>
      <c r="E72" s="1"/>
      <c r="F72" s="5">
        <f t="shared" si="52"/>
        <v>1.1141305296712836E-2</v>
      </c>
      <c r="G72" s="1"/>
      <c r="H72" s="1">
        <f>SUM(OSRRefH22_12x_0)</f>
        <v>475</v>
      </c>
      <c r="I72" s="1"/>
      <c r="J72" s="5">
        <f t="shared" si="53"/>
        <v>1.592944096046145E-2</v>
      </c>
      <c r="K72" s="1"/>
      <c r="L72" s="1">
        <f t="shared" si="54"/>
        <v>99.309999999999945</v>
      </c>
      <c r="M72" s="1"/>
      <c r="N72" s="5">
        <f t="shared" si="55"/>
        <v>0.20907368421052619</v>
      </c>
      <c r="O72" s="14"/>
      <c r="P72" s="1">
        <f>SUM(OSRRefP22_12x_0)</f>
        <v>5364.869999999999</v>
      </c>
      <c r="Q72" s="1"/>
      <c r="R72" s="5">
        <f t="shared" si="56"/>
        <v>2.0103685066662096E-2</v>
      </c>
      <c r="S72" s="1"/>
      <c r="T72" s="1">
        <f>SUM(OSRRefT22_12x_0)</f>
        <v>4325</v>
      </c>
      <c r="U72" s="1"/>
      <c r="V72" s="5">
        <f t="shared" si="57"/>
        <v>3.1518269665214031E-2</v>
      </c>
      <c r="W72" s="1"/>
      <c r="X72" s="1">
        <f t="shared" si="58"/>
        <v>1039.869999999999</v>
      </c>
      <c r="Y72" s="1"/>
      <c r="Z72" s="5">
        <f t="shared" si="59"/>
        <v>0.2404323699421963</v>
      </c>
    </row>
    <row r="73" spans="1:26" s="24" customFormat="1" hidden="1" outlineLevel="2" x14ac:dyDescent="0.3">
      <c r="A73" s="29"/>
      <c r="B73" s="11" t="str">
        <f>CONCATENATE("          ", "6235", " - ", "COVID-19 EXPENSES")</f>
        <v xml:space="preserve">          6235 - COVID-19 EXPENSES</v>
      </c>
      <c r="C73" s="11"/>
      <c r="D73" s="6"/>
      <c r="E73" s="2"/>
      <c r="F73" s="7">
        <f t="shared" si="52"/>
        <v>0</v>
      </c>
      <c r="G73" s="2"/>
      <c r="H73" s="6">
        <v>75</v>
      </c>
      <c r="I73" s="2"/>
      <c r="J73" s="7">
        <f t="shared" si="53"/>
        <v>2.5151748884939132E-3</v>
      </c>
      <c r="K73" s="2"/>
      <c r="L73" s="6">
        <f t="shared" si="54"/>
        <v>-75</v>
      </c>
      <c r="M73" s="2"/>
      <c r="N73" s="7">
        <f t="shared" si="55"/>
        <v>-1</v>
      </c>
      <c r="O73" s="11"/>
      <c r="P73" s="6">
        <v>193.5</v>
      </c>
      <c r="Q73" s="2"/>
      <c r="R73" s="7">
        <f t="shared" si="56"/>
        <v>7.2509922149075672E-4</v>
      </c>
      <c r="S73" s="2"/>
      <c r="T73" s="6">
        <v>625</v>
      </c>
      <c r="U73" s="2"/>
      <c r="V73" s="7">
        <f t="shared" si="57"/>
        <v>4.5546632464182127E-3</v>
      </c>
      <c r="W73" s="2"/>
      <c r="X73" s="6">
        <f t="shared" si="58"/>
        <v>-431.5</v>
      </c>
      <c r="Y73" s="2"/>
      <c r="Z73" s="7">
        <f t="shared" si="59"/>
        <v>-0.69040000000000001</v>
      </c>
    </row>
    <row r="74" spans="1:26" s="24" customFormat="1" hidden="1" outlineLevel="2" x14ac:dyDescent="0.3">
      <c r="A74" s="29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52"/>
        <v>0</v>
      </c>
      <c r="G74" s="2"/>
      <c r="H74" s="6">
        <v>150</v>
      </c>
      <c r="I74" s="2"/>
      <c r="J74" s="7">
        <f t="shared" si="53"/>
        <v>5.0303497769878264E-3</v>
      </c>
      <c r="K74" s="2"/>
      <c r="L74" s="6">
        <f t="shared" si="54"/>
        <v>-150</v>
      </c>
      <c r="M74" s="2"/>
      <c r="N74" s="7">
        <f t="shared" si="55"/>
        <v>-1</v>
      </c>
      <c r="O74" s="11"/>
      <c r="P74" s="6">
        <v>48.12</v>
      </c>
      <c r="Q74" s="2"/>
      <c r="R74" s="7">
        <f t="shared" si="56"/>
        <v>1.803192482590967E-4</v>
      </c>
      <c r="S74" s="2"/>
      <c r="T74" s="6">
        <v>700</v>
      </c>
      <c r="U74" s="2"/>
      <c r="V74" s="7">
        <f t="shared" si="57"/>
        <v>5.1012228359883982E-3</v>
      </c>
      <c r="W74" s="2"/>
      <c r="X74" s="6">
        <f t="shared" si="58"/>
        <v>-651.88</v>
      </c>
      <c r="Y74" s="2"/>
      <c r="Z74" s="7">
        <f t="shared" si="59"/>
        <v>-0.93125714285714289</v>
      </c>
    </row>
    <row r="75" spans="1:26" s="24" customFormat="1" hidden="1" outlineLevel="2" x14ac:dyDescent="0.3">
      <c r="A75" s="29"/>
      <c r="B75" s="11" t="str">
        <f>CONCATENATE("          ", "6239", " - ", "KITCHEN SUPPLIES")</f>
        <v xml:space="preserve">          6239 - KITCHEN SUPPLIES</v>
      </c>
      <c r="C75" s="11"/>
      <c r="D75" s="6">
        <v>454.42</v>
      </c>
      <c r="E75" s="2"/>
      <c r="F75" s="7">
        <f t="shared" si="52"/>
        <v>8.8155037400223703E-3</v>
      </c>
      <c r="G75" s="2"/>
      <c r="H75" s="6"/>
      <c r="I75" s="2"/>
      <c r="J75" s="7">
        <f t="shared" si="53"/>
        <v>0</v>
      </c>
      <c r="K75" s="2"/>
      <c r="L75" s="6">
        <f t="shared" si="54"/>
        <v>454.42</v>
      </c>
      <c r="M75" s="2"/>
      <c r="N75" s="7">
        <f t="shared" si="55"/>
        <v>0</v>
      </c>
      <c r="O75" s="11"/>
      <c r="P75" s="6">
        <v>1329.28</v>
      </c>
      <c r="Q75" s="2"/>
      <c r="R75" s="7">
        <f t="shared" si="56"/>
        <v>4.981188078259602E-3</v>
      </c>
      <c r="S75" s="2"/>
      <c r="T75" s="6">
        <v>100</v>
      </c>
      <c r="U75" s="2"/>
      <c r="V75" s="7">
        <f t="shared" si="57"/>
        <v>7.2874611942691406E-4</v>
      </c>
      <c r="W75" s="2"/>
      <c r="X75" s="6">
        <f t="shared" si="58"/>
        <v>1229.28</v>
      </c>
      <c r="Y75" s="2"/>
      <c r="Z75" s="7">
        <f t="shared" si="59"/>
        <v>12.2928</v>
      </c>
    </row>
    <row r="76" spans="1:26" s="24" customFormat="1" hidden="1" outlineLevel="2" x14ac:dyDescent="0.3">
      <c r="A76" s="29"/>
      <c r="B76" s="11" t="str">
        <f>CONCATENATE("          ", "6241", " - ", "OFFICE EXPENSE")</f>
        <v xml:space="preserve">          6241 - OFFICE EXPENSE</v>
      </c>
      <c r="C76" s="11"/>
      <c r="D76" s="6">
        <v>53.22</v>
      </c>
      <c r="E76" s="2"/>
      <c r="F76" s="7">
        <f t="shared" si="52"/>
        <v>1.032439393169294E-3</v>
      </c>
      <c r="G76" s="2"/>
      <c r="H76" s="6"/>
      <c r="I76" s="2"/>
      <c r="J76" s="7">
        <f t="shared" si="53"/>
        <v>0</v>
      </c>
      <c r="K76" s="2"/>
      <c r="L76" s="6">
        <f t="shared" si="54"/>
        <v>53.22</v>
      </c>
      <c r="M76" s="2"/>
      <c r="N76" s="7">
        <f t="shared" si="55"/>
        <v>0</v>
      </c>
      <c r="O76" s="11"/>
      <c r="P76" s="6">
        <v>1795.83</v>
      </c>
      <c r="Q76" s="2"/>
      <c r="R76" s="7">
        <f t="shared" si="56"/>
        <v>6.7294828678539824E-3</v>
      </c>
      <c r="S76" s="2"/>
      <c r="T76" s="6">
        <v>100</v>
      </c>
      <c r="U76" s="2"/>
      <c r="V76" s="7">
        <f t="shared" si="57"/>
        <v>7.2874611942691406E-4</v>
      </c>
      <c r="W76" s="2"/>
      <c r="X76" s="6">
        <f t="shared" si="58"/>
        <v>1695.83</v>
      </c>
      <c r="Y76" s="2"/>
      <c r="Z76" s="7">
        <f t="shared" si="59"/>
        <v>16.958299999999998</v>
      </c>
    </row>
    <row r="77" spans="1:26" s="24" customFormat="1" hidden="1" outlineLevel="2" x14ac:dyDescent="0.3">
      <c r="A77" s="29"/>
      <c r="B77" s="11" t="str">
        <f>CONCATENATE("          ", "6243", " - ", "PAPER SUPPLIES")</f>
        <v xml:space="preserve">          6243 - PAPER SUPPLIES</v>
      </c>
      <c r="C77" s="11"/>
      <c r="D77" s="6">
        <v>66.67</v>
      </c>
      <c r="E77" s="2"/>
      <c r="F77" s="7">
        <f t="shared" si="52"/>
        <v>1.2933621635211731E-3</v>
      </c>
      <c r="G77" s="2"/>
      <c r="H77" s="6">
        <v>200</v>
      </c>
      <c r="I77" s="2"/>
      <c r="J77" s="7">
        <f t="shared" si="53"/>
        <v>6.7071330359837686E-3</v>
      </c>
      <c r="K77" s="2"/>
      <c r="L77" s="6">
        <f t="shared" si="54"/>
        <v>-133.32999999999998</v>
      </c>
      <c r="M77" s="2"/>
      <c r="N77" s="7">
        <f t="shared" si="55"/>
        <v>-0.66664999999999996</v>
      </c>
      <c r="O77" s="11"/>
      <c r="P77" s="6">
        <v>511.58</v>
      </c>
      <c r="Q77" s="2"/>
      <c r="R77" s="7">
        <f t="shared" si="56"/>
        <v>1.9170349340064149E-3</v>
      </c>
      <c r="S77" s="2"/>
      <c r="T77" s="6">
        <v>1400</v>
      </c>
      <c r="U77" s="2"/>
      <c r="V77" s="7">
        <f t="shared" si="57"/>
        <v>1.0202445671976796E-2</v>
      </c>
      <c r="W77" s="2"/>
      <c r="X77" s="6">
        <f t="shared" si="58"/>
        <v>-888.42000000000007</v>
      </c>
      <c r="Y77" s="2"/>
      <c r="Z77" s="7">
        <f t="shared" si="59"/>
        <v>-0.63458571428571431</v>
      </c>
    </row>
    <row r="78" spans="1:26" s="24" customFormat="1" hidden="1" outlineLevel="2" x14ac:dyDescent="0.3">
      <c r="A78" s="29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52"/>
        <v>0</v>
      </c>
      <c r="G78" s="2"/>
      <c r="H78" s="6">
        <v>50</v>
      </c>
      <c r="I78" s="2"/>
      <c r="J78" s="7">
        <f t="shared" si="53"/>
        <v>1.6767832589959421E-3</v>
      </c>
      <c r="K78" s="2"/>
      <c r="L78" s="6">
        <f t="shared" si="54"/>
        <v>-50</v>
      </c>
      <c r="M78" s="2"/>
      <c r="N78" s="7">
        <f t="shared" si="55"/>
        <v>-1</v>
      </c>
      <c r="O78" s="11"/>
      <c r="P78" s="6">
        <v>733</v>
      </c>
      <c r="Q78" s="2"/>
      <c r="R78" s="7">
        <f t="shared" si="56"/>
        <v>2.7467582912285514E-3</v>
      </c>
      <c r="S78" s="2"/>
      <c r="T78" s="6">
        <v>600</v>
      </c>
      <c r="U78" s="2"/>
      <c r="V78" s="7">
        <f t="shared" si="57"/>
        <v>4.3724767165614839E-3</v>
      </c>
      <c r="W78" s="2"/>
      <c r="X78" s="6">
        <f t="shared" si="58"/>
        <v>133</v>
      </c>
      <c r="Y78" s="2"/>
      <c r="Z78" s="7">
        <f t="shared" si="59"/>
        <v>0.22166666666666668</v>
      </c>
    </row>
    <row r="79" spans="1:26" s="24" customFormat="1" hidden="1" outlineLevel="2" x14ac:dyDescent="0.3">
      <c r="A79" s="29"/>
      <c r="B79" s="11" t="str">
        <f>CONCATENATE("          ", "6247", " - ", "STORE SUPPLIES")</f>
        <v xml:space="preserve">          6247 - STORE SUPPLIES</v>
      </c>
      <c r="C79" s="11"/>
      <c r="D79" s="6">
        <v>0</v>
      </c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>
        <v>500.61</v>
      </c>
      <c r="Q79" s="2"/>
      <c r="R79" s="7">
        <f t="shared" si="56"/>
        <v>1.8759272417079469E-3</v>
      </c>
      <c r="S79" s="2"/>
      <c r="T79" s="6"/>
      <c r="U79" s="2"/>
      <c r="V79" s="7">
        <f t="shared" si="57"/>
        <v>0</v>
      </c>
      <c r="W79" s="2"/>
      <c r="X79" s="6">
        <f t="shared" si="58"/>
        <v>500.61</v>
      </c>
      <c r="Y79" s="2"/>
      <c r="Z79" s="7">
        <f t="shared" si="59"/>
        <v>0</v>
      </c>
    </row>
    <row r="80" spans="1:26" s="24" customFormat="1" hidden="1" outlineLevel="2" x14ac:dyDescent="0.3">
      <c r="A80" s="29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252.95</v>
      </c>
      <c r="Q80" s="2"/>
      <c r="R80" s="7">
        <f t="shared" si="56"/>
        <v>9.4787518385574621E-4</v>
      </c>
      <c r="S80" s="2"/>
      <c r="T80" s="6">
        <v>800</v>
      </c>
      <c r="U80" s="2"/>
      <c r="V80" s="7">
        <f t="shared" si="57"/>
        <v>5.8299689554153124E-3</v>
      </c>
      <c r="W80" s="2"/>
      <c r="X80" s="6">
        <f t="shared" si="58"/>
        <v>-547.04999999999995</v>
      </c>
      <c r="Y80" s="2"/>
      <c r="Z80" s="7">
        <f t="shared" si="59"/>
        <v>-0.68381249999999993</v>
      </c>
    </row>
    <row r="81" spans="1:26" s="28" customFormat="1" outlineLevel="1" collapsed="1" x14ac:dyDescent="0.3">
      <c r="A81" s="27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SUM(OSRRefD22_13x_0)</f>
        <v>0</v>
      </c>
      <c r="E81" s="1"/>
      <c r="F81" s="5">
        <f t="shared" ref="F81:F86" si="60">IF(D$12=0,0,D81/D$12)</f>
        <v>0</v>
      </c>
      <c r="G81" s="1"/>
      <c r="H81" s="1">
        <f>SUM(OSRRefH22_13x_0)</f>
        <v>150</v>
      </c>
      <c r="I81" s="1"/>
      <c r="J81" s="5">
        <f t="shared" ref="J81:J86" si="61">IF(H$12=0,0,H81/H$12)</f>
        <v>5.0303497769878264E-3</v>
      </c>
      <c r="K81" s="1"/>
      <c r="L81" s="1">
        <f t="shared" ref="L81:L86" si="62">+D81-H81</f>
        <v>-150</v>
      </c>
      <c r="M81" s="1"/>
      <c r="N81" s="5">
        <f t="shared" ref="N81:N86" si="63">IF(H81=0,0,L81/H81)</f>
        <v>-1</v>
      </c>
      <c r="O81" s="14"/>
      <c r="P81" s="1">
        <f>SUM(OSRRefP22_13x_0)</f>
        <v>600</v>
      </c>
      <c r="Q81" s="1"/>
      <c r="R81" s="5">
        <f t="shared" ref="R81:R86" si="64">IF(P$12=0,0,P81/P$12)</f>
        <v>2.248369679041106E-3</v>
      </c>
      <c r="S81" s="1"/>
      <c r="T81" s="1">
        <f>SUM(OSRRefT22_13x_0)</f>
        <v>900</v>
      </c>
      <c r="U81" s="1"/>
      <c r="V81" s="5">
        <f t="shared" ref="V81:V86" si="65">IF(T$12=0,0,T81/T$12)</f>
        <v>6.5587150748422267E-3</v>
      </c>
      <c r="W81" s="1"/>
      <c r="X81" s="1">
        <f t="shared" ref="X81:X86" si="66">+P81-T81</f>
        <v>-300</v>
      </c>
      <c r="Y81" s="1"/>
      <c r="Z81" s="5">
        <f t="shared" ref="Z81:Z86" si="67">IF(T81=0,0,X81/T81)</f>
        <v>-0.33333333333333331</v>
      </c>
    </row>
    <row r="82" spans="1:26" s="24" customFormat="1" hidden="1" outlineLevel="2" x14ac:dyDescent="0.3">
      <c r="A82" s="29"/>
      <c r="B82" s="11" t="str">
        <f>CONCATENATE("          ", "6309", " - ", "TELEPHONE")</f>
        <v xml:space="preserve">          6309 - TELEPHONE</v>
      </c>
      <c r="C82" s="11"/>
      <c r="D82" s="6">
        <v>0</v>
      </c>
      <c r="E82" s="2"/>
      <c r="F82" s="7">
        <f t="shared" si="60"/>
        <v>0</v>
      </c>
      <c r="G82" s="2"/>
      <c r="H82" s="6">
        <v>150</v>
      </c>
      <c r="I82" s="2"/>
      <c r="J82" s="7">
        <f t="shared" si="61"/>
        <v>5.0303497769878264E-3</v>
      </c>
      <c r="K82" s="2"/>
      <c r="L82" s="6">
        <f t="shared" si="62"/>
        <v>-150</v>
      </c>
      <c r="M82" s="2"/>
      <c r="N82" s="7">
        <f t="shared" si="63"/>
        <v>-1</v>
      </c>
      <c r="O82" s="11"/>
      <c r="P82" s="6">
        <v>600</v>
      </c>
      <c r="Q82" s="2"/>
      <c r="R82" s="7">
        <f t="shared" si="64"/>
        <v>2.248369679041106E-3</v>
      </c>
      <c r="S82" s="2"/>
      <c r="T82" s="6">
        <v>900</v>
      </c>
      <c r="U82" s="2"/>
      <c r="V82" s="7">
        <f t="shared" si="65"/>
        <v>6.5587150748422267E-3</v>
      </c>
      <c r="W82" s="2"/>
      <c r="X82" s="6">
        <f t="shared" si="66"/>
        <v>-300</v>
      </c>
      <c r="Y82" s="2"/>
      <c r="Z82" s="7">
        <f t="shared" si="67"/>
        <v>-0.33333333333333331</v>
      </c>
    </row>
    <row r="83" spans="1:26" s="28" customFormat="1" outlineLevel="1" collapsed="1" x14ac:dyDescent="0.3">
      <c r="A83" s="27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SUM(OSRRefD22_14x_0)</f>
        <v>0</v>
      </c>
      <c r="E83" s="1"/>
      <c r="F83" s="5">
        <f t="shared" si="60"/>
        <v>0</v>
      </c>
      <c r="G83" s="1"/>
      <c r="H83" s="1">
        <f>SUM(OSRRefH22_14x_0)</f>
        <v>0</v>
      </c>
      <c r="I83" s="1"/>
      <c r="J83" s="5">
        <f t="shared" si="61"/>
        <v>0</v>
      </c>
      <c r="K83" s="1"/>
      <c r="L83" s="1">
        <f t="shared" si="62"/>
        <v>0</v>
      </c>
      <c r="M83" s="1"/>
      <c r="N83" s="5">
        <f t="shared" si="63"/>
        <v>0</v>
      </c>
      <c r="O83" s="14"/>
      <c r="P83" s="1">
        <f>SUM(OSRRefP22_14x_0)</f>
        <v>0</v>
      </c>
      <c r="Q83" s="1"/>
      <c r="R83" s="5">
        <f t="shared" si="64"/>
        <v>0</v>
      </c>
      <c r="S83" s="1"/>
      <c r="T83" s="1">
        <f>SUM(OSRRefT22_14x_0)</f>
        <v>200</v>
      </c>
      <c r="U83" s="1"/>
      <c r="V83" s="5">
        <f t="shared" si="65"/>
        <v>1.4574922388538281E-3</v>
      </c>
      <c r="W83" s="1"/>
      <c r="X83" s="1">
        <f t="shared" si="66"/>
        <v>-200</v>
      </c>
      <c r="Y83" s="1"/>
      <c r="Z83" s="5">
        <f t="shared" si="67"/>
        <v>-1</v>
      </c>
    </row>
    <row r="84" spans="1:26" s="24" customFormat="1" hidden="1" outlineLevel="2" x14ac:dyDescent="0.3">
      <c r="A84" s="29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0"/>
        <v>0</v>
      </c>
      <c r="G84" s="2"/>
      <c r="H84" s="6"/>
      <c r="I84" s="2"/>
      <c r="J84" s="7">
        <f t="shared" si="61"/>
        <v>0</v>
      </c>
      <c r="K84" s="2"/>
      <c r="L84" s="6">
        <f t="shared" si="62"/>
        <v>0</v>
      </c>
      <c r="M84" s="2"/>
      <c r="N84" s="7">
        <f t="shared" si="63"/>
        <v>0</v>
      </c>
      <c r="O84" s="11"/>
      <c r="P84" s="6"/>
      <c r="Q84" s="2"/>
      <c r="R84" s="7">
        <f t="shared" si="64"/>
        <v>0</v>
      </c>
      <c r="S84" s="2"/>
      <c r="T84" s="6">
        <v>200</v>
      </c>
      <c r="U84" s="2"/>
      <c r="V84" s="7">
        <f t="shared" si="65"/>
        <v>1.4574922388538281E-3</v>
      </c>
      <c r="W84" s="2"/>
      <c r="X84" s="6">
        <f t="shared" si="66"/>
        <v>-200</v>
      </c>
      <c r="Y84" s="2"/>
      <c r="Z84" s="7">
        <f t="shared" si="67"/>
        <v>-1</v>
      </c>
    </row>
    <row r="85" spans="1:26" s="28" customFormat="1" outlineLevel="1" collapsed="1" x14ac:dyDescent="0.3">
      <c r="A85" s="27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SUM(OSRRefD22_15x_0)</f>
        <v>200</v>
      </c>
      <c r="E85" s="1"/>
      <c r="F85" s="5">
        <f t="shared" si="60"/>
        <v>3.8798924959387222E-3</v>
      </c>
      <c r="G85" s="1"/>
      <c r="H85" s="1">
        <f>SUM(OSRRefH22_15x_0)</f>
        <v>200</v>
      </c>
      <c r="I85" s="1"/>
      <c r="J85" s="5">
        <f t="shared" si="61"/>
        <v>6.7071330359837686E-3</v>
      </c>
      <c r="K85" s="1"/>
      <c r="L85" s="1">
        <f t="shared" si="62"/>
        <v>0</v>
      </c>
      <c r="M85" s="1"/>
      <c r="N85" s="5">
        <f t="shared" si="63"/>
        <v>0</v>
      </c>
      <c r="O85" s="14"/>
      <c r="P85" s="1">
        <f>SUM(OSRRefP22_15x_0)</f>
        <v>1200</v>
      </c>
      <c r="Q85" s="1"/>
      <c r="R85" s="5">
        <f t="shared" si="64"/>
        <v>4.4967393580822119E-3</v>
      </c>
      <c r="S85" s="1"/>
      <c r="T85" s="1">
        <f>SUM(OSRRefT22_15x_0)</f>
        <v>1200</v>
      </c>
      <c r="U85" s="1"/>
      <c r="V85" s="5">
        <f t="shared" si="65"/>
        <v>8.7449534331229678E-3</v>
      </c>
      <c r="W85" s="1"/>
      <c r="X85" s="1">
        <f t="shared" si="66"/>
        <v>0</v>
      </c>
      <c r="Y85" s="1"/>
      <c r="Z85" s="5">
        <f t="shared" si="67"/>
        <v>0</v>
      </c>
    </row>
    <row r="86" spans="1:26" s="24" customFormat="1" hidden="1" outlineLevel="2" x14ac:dyDescent="0.3">
      <c r="A86" s="29"/>
      <c r="B86" s="11" t="str">
        <f>CONCATENATE("          ", "6274", " - ", "UTILITIES")</f>
        <v xml:space="preserve">          6274 - UTILITIES</v>
      </c>
      <c r="C86" s="11"/>
      <c r="D86" s="6">
        <v>200</v>
      </c>
      <c r="E86" s="2"/>
      <c r="F86" s="7">
        <f t="shared" si="60"/>
        <v>3.8798924959387222E-3</v>
      </c>
      <c r="G86" s="2"/>
      <c r="H86" s="6">
        <v>200</v>
      </c>
      <c r="I86" s="2"/>
      <c r="J86" s="7">
        <f t="shared" si="61"/>
        <v>6.7071330359837686E-3</v>
      </c>
      <c r="K86" s="2"/>
      <c r="L86" s="6">
        <f t="shared" si="62"/>
        <v>0</v>
      </c>
      <c r="M86" s="2"/>
      <c r="N86" s="7">
        <f t="shared" si="63"/>
        <v>0</v>
      </c>
      <c r="O86" s="11"/>
      <c r="P86" s="6">
        <v>1200</v>
      </c>
      <c r="Q86" s="2"/>
      <c r="R86" s="7">
        <f t="shared" si="64"/>
        <v>4.4967393580822119E-3</v>
      </c>
      <c r="S86" s="2"/>
      <c r="T86" s="6">
        <v>1200</v>
      </c>
      <c r="U86" s="2"/>
      <c r="V86" s="7">
        <f t="shared" si="65"/>
        <v>8.7449534331229678E-3</v>
      </c>
      <c r="W86" s="2"/>
      <c r="X86" s="6">
        <f t="shared" si="66"/>
        <v>0</v>
      </c>
      <c r="Y86" s="2"/>
      <c r="Z86" s="7">
        <f t="shared" si="67"/>
        <v>0</v>
      </c>
    </row>
    <row r="87" spans="1:26" s="55" customFormat="1" x14ac:dyDescent="0.3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3">
      <c r="A88" s="10"/>
      <c r="B88" s="25" t="s">
        <v>293</v>
      </c>
      <c r="C88" s="10"/>
      <c r="D88" s="4">
        <f>SUM(OSRRefD25x_0)</f>
        <v>0</v>
      </c>
      <c r="E88" s="4"/>
      <c r="F88" s="12">
        <f t="shared" ref="F88:F89" si="68">IF(D$12=0,0,D88/D$12)</f>
        <v>0</v>
      </c>
      <c r="G88" s="4"/>
      <c r="H88" s="4">
        <f>SUM(OSRRefH25x_0)</f>
        <v>0</v>
      </c>
      <c r="I88" s="4"/>
      <c r="J88" s="12">
        <f t="shared" ref="J88:J89" si="69">IF(H$12=0,0,H88/H$12)</f>
        <v>0</v>
      </c>
      <c r="K88" s="4"/>
      <c r="L88" s="4">
        <f t="shared" ref="L88:L89" si="70">+D88-H88</f>
        <v>0</v>
      </c>
      <c r="M88" s="4"/>
      <c r="N88" s="12">
        <f t="shared" ref="N88:N89" si="71">IF(H88=0,0,L88/H88)</f>
        <v>0</v>
      </c>
      <c r="O88" s="10"/>
      <c r="P88" s="4">
        <f>SUM(OSRRefP25x_0)</f>
        <v>192</v>
      </c>
      <c r="Q88" s="4"/>
      <c r="R88" s="12">
        <f t="shared" ref="R88:R89" si="72">IF(P$12=0,0,P88/P$12)</f>
        <v>7.1947829729315392E-4</v>
      </c>
      <c r="S88" s="4"/>
      <c r="T88" s="4">
        <f>SUM(OSRRefT25x_0)</f>
        <v>0</v>
      </c>
      <c r="U88" s="4"/>
      <c r="V88" s="12">
        <f t="shared" ref="V88:V89" si="73">IF(T$12=0,0,T88/T$12)</f>
        <v>0</v>
      </c>
      <c r="W88" s="4"/>
      <c r="X88" s="4">
        <f t="shared" ref="X88:X89" si="74">+P88-T88</f>
        <v>192</v>
      </c>
      <c r="Y88" s="4"/>
      <c r="Z88" s="12">
        <f t="shared" ref="Z88:Z89" si="75">IF(T88=0,0,X88/T88)</f>
        <v>0</v>
      </c>
    </row>
    <row r="89" spans="1:26" s="24" customFormat="1" hidden="1" outlineLevel="1" x14ac:dyDescent="0.3">
      <c r="A89" s="44"/>
      <c r="B89" s="11" t="str">
        <f>CONCATENATE("          ", "9150", " - ", "MISC. INCOME")</f>
        <v xml:space="preserve">          9150 - MISC. INCOME</v>
      </c>
      <c r="C89" s="11"/>
      <c r="D89" s="2">
        <f>0</f>
        <v>0</v>
      </c>
      <c r="E89" s="2"/>
      <c r="F89" s="19">
        <f t="shared" si="68"/>
        <v>0</v>
      </c>
      <c r="G89" s="2"/>
      <c r="H89" s="2"/>
      <c r="I89" s="2"/>
      <c r="J89" s="19">
        <f t="shared" si="69"/>
        <v>0</v>
      </c>
      <c r="K89" s="2"/>
      <c r="L89" s="2">
        <f t="shared" si="70"/>
        <v>0</v>
      </c>
      <c r="M89" s="2"/>
      <c r="N89" s="19">
        <f t="shared" si="71"/>
        <v>0</v>
      </c>
      <c r="O89" s="11"/>
      <c r="P89" s="2">
        <f>--192</f>
        <v>192</v>
      </c>
      <c r="Q89" s="2"/>
      <c r="R89" s="19">
        <f t="shared" si="72"/>
        <v>7.1947829729315392E-4</v>
      </c>
      <c r="S89" s="2"/>
      <c r="T89" s="2"/>
      <c r="U89" s="2"/>
      <c r="V89" s="19">
        <f t="shared" si="73"/>
        <v>0</v>
      </c>
      <c r="W89" s="2"/>
      <c r="X89" s="2">
        <f t="shared" si="74"/>
        <v>192</v>
      </c>
      <c r="Y89" s="2"/>
      <c r="Z89" s="19">
        <f t="shared" si="75"/>
        <v>0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10"/>
      <c r="B91" s="26" t="s">
        <v>277</v>
      </c>
      <c r="C91" s="26"/>
      <c r="D91" s="20">
        <f>+D23-D25+D88</f>
        <v>-6088.9399999999878</v>
      </c>
      <c r="E91" s="13"/>
      <c r="F91" s="22">
        <f>IF(D$12=0,0,D91/D$12)</f>
        <v>-0.11812216307110537</v>
      </c>
      <c r="G91" s="13"/>
      <c r="H91" s="20">
        <f>+H23-H25+H88</f>
        <v>-12712.914307692303</v>
      </c>
      <c r="I91" s="13"/>
      <c r="J91" s="22">
        <f>IF(H$12=0,0,H91/H$12)</f>
        <v>-0.42633603768376882</v>
      </c>
      <c r="K91" s="16"/>
      <c r="L91" s="20">
        <f>+D91-H91</f>
        <v>6623.9743076923151</v>
      </c>
      <c r="M91" s="16"/>
      <c r="N91" s="22">
        <f>IF(H91=0,0,L91/H91)</f>
        <v>-0.52104294478601931</v>
      </c>
      <c r="O91" s="25"/>
      <c r="P91" s="20">
        <f>+P23-P25+P88</f>
        <v>-40455.019999999931</v>
      </c>
      <c r="Q91" s="13"/>
      <c r="R91" s="22">
        <f>IF(P$12=0,0,P91/P$12)</f>
        <v>-0.15159640055500229</v>
      </c>
      <c r="S91" s="13"/>
      <c r="T91" s="20">
        <f>+T23-T25+T88</f>
        <v>-99122.78787</v>
      </c>
      <c r="U91" s="13"/>
      <c r="V91" s="22">
        <f>IF(T$12=0,0,T91/T$12)</f>
        <v>-0.72235347007039685</v>
      </c>
      <c r="W91" s="16"/>
      <c r="X91" s="20">
        <f>+P91-T91</f>
        <v>58667.767870000069</v>
      </c>
      <c r="Y91" s="16"/>
      <c r="Z91" s="22">
        <f>IF(T91=0,0,X91/T91)</f>
        <v>-0.59186963089600664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52"/>
      <c r="B93" s="10" t="s">
        <v>128</v>
      </c>
      <c r="C93" s="10"/>
      <c r="D93" s="4">
        <v>6475.95</v>
      </c>
      <c r="E93" s="4"/>
      <c r="F93" s="12">
        <f>IF(D$12=0,0,D93/D$12)</f>
        <v>0.12562994904537184</v>
      </c>
      <c r="G93" s="4"/>
      <c r="H93" s="4">
        <v>4340</v>
      </c>
      <c r="I93" s="4"/>
      <c r="J93" s="12">
        <f>IF(H$12=0,0,H93/H$12)</f>
        <v>0.14554478688084779</v>
      </c>
      <c r="K93" s="4"/>
      <c r="L93" s="4">
        <f>+D93-H93</f>
        <v>2135.9499999999998</v>
      </c>
      <c r="M93" s="4"/>
      <c r="N93" s="12">
        <f>IF(H93=0,0,L93/H93)</f>
        <v>0.49215437788018429</v>
      </c>
      <c r="O93" s="10"/>
      <c r="P93" s="4">
        <v>32122.16</v>
      </c>
      <c r="Q93" s="4"/>
      <c r="R93" s="12">
        <f>IF(P$12=0,0,P93/P$12)</f>
        <v>0.12037081761551176</v>
      </c>
      <c r="S93" s="4"/>
      <c r="T93" s="4">
        <v>17766</v>
      </c>
      <c r="U93" s="4"/>
      <c r="V93" s="12">
        <f>IF(T$12=0,0,T93/T$12)</f>
        <v>0.12946903557738554</v>
      </c>
      <c r="W93" s="4"/>
      <c r="X93" s="4">
        <f>+P93-T93</f>
        <v>14356.16</v>
      </c>
      <c r="Y93" s="4"/>
      <c r="Z93" s="12">
        <f>IF(T93=0,0,X93/T93)</f>
        <v>0.80806934594168633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126</v>
      </c>
      <c r="C95" s="26"/>
      <c r="D95" s="31">
        <f>+D91-D93</f>
        <v>-12564.889999999989</v>
      </c>
      <c r="E95" s="13"/>
      <c r="F95" s="30">
        <f>IF(D$12=0,0,D95/D$12)</f>
        <v>-0.24375211211647721</v>
      </c>
      <c r="G95" s="13"/>
      <c r="H95" s="31">
        <f>+H91-H93</f>
        <v>-17052.914307692303</v>
      </c>
      <c r="I95" s="13"/>
      <c r="J95" s="30">
        <f>IF(H$12=0,0,H95/H$12)</f>
        <v>-0.57188082456461664</v>
      </c>
      <c r="K95" s="16"/>
      <c r="L95" s="31">
        <f>D95-H95</f>
        <v>4488.0243076923143</v>
      </c>
      <c r="M95" s="16"/>
      <c r="N95" s="30">
        <f>IF(H95=0,0,L95/H95)</f>
        <v>-0.26318224713460481</v>
      </c>
      <c r="O95" s="25"/>
      <c r="P95" s="31">
        <f>+P91-P93</f>
        <v>-72577.179999999935</v>
      </c>
      <c r="Q95" s="13"/>
      <c r="R95" s="30">
        <f>IF(P$12=0,0,P95/P$12)</f>
        <v>-0.27196721817051406</v>
      </c>
      <c r="S95" s="13"/>
      <c r="T95" s="31">
        <f>+T91-T93</f>
        <v>-116888.78787</v>
      </c>
      <c r="U95" s="13"/>
      <c r="V95" s="30">
        <f>IF(T$12=0,0,T95/T$12)</f>
        <v>-0.85182250564778239</v>
      </c>
      <c r="W95" s="16"/>
      <c r="X95" s="31">
        <f>P95-T95</f>
        <v>44311.607870000065</v>
      </c>
      <c r="Y95" s="16"/>
      <c r="Z95" s="30">
        <f>IF(T95=0,0,X95/T95)</f>
        <v>-0.37909202993260593</v>
      </c>
    </row>
    <row r="96" spans="1:26" ht="15" thickTop="1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35">
      <c r="A98" s="10"/>
      <c r="B98" s="26" t="s">
        <v>294</v>
      </c>
      <c r="C98" s="26"/>
      <c r="D98" s="35">
        <f>SUM(D95:D97)</f>
        <v>-12564.889999999989</v>
      </c>
      <c r="E98" s="13"/>
      <c r="F98" s="34">
        <f>IF(D$12=0,0,D98/D$12)</f>
        <v>-0.24375211211647721</v>
      </c>
      <c r="G98" s="13"/>
      <c r="H98" s="35">
        <f>SUM(H95:H97)</f>
        <v>-17052.914307692303</v>
      </c>
      <c r="I98" s="13"/>
      <c r="J98" s="34">
        <f>IF(H$12=0,0,H98/H$12)</f>
        <v>-0.57188082456461664</v>
      </c>
      <c r="K98" s="16"/>
      <c r="L98" s="35">
        <f>+D98-H98</f>
        <v>4488.0243076923143</v>
      </c>
      <c r="M98" s="16"/>
      <c r="N98" s="34">
        <f>IF(H98=0,0,L98/H98)</f>
        <v>-0.26318224713460481</v>
      </c>
      <c r="O98" s="25"/>
      <c r="P98" s="35">
        <f>SUM(P95:P97)</f>
        <v>-72577.179999999935</v>
      </c>
      <c r="Q98" s="13"/>
      <c r="R98" s="34">
        <f>IF(P$12=0,0,P98/P$12)</f>
        <v>-0.27196721817051406</v>
      </c>
      <c r="S98" s="13"/>
      <c r="T98" s="35">
        <f>SUM(T95:T97)</f>
        <v>-116888.78787</v>
      </c>
      <c r="U98" s="13"/>
      <c r="V98" s="34">
        <f>IF(T$12=0,0,T98/T$12)</f>
        <v>-0.85182250564778239</v>
      </c>
      <c r="W98" s="16"/>
      <c r="X98" s="35">
        <f>+P98-T98</f>
        <v>44311.607870000065</v>
      </c>
      <c r="Y98" s="16"/>
      <c r="Z98" s="34">
        <f>IF(T98=0,0,X98/T98)</f>
        <v>-0.37909202993260593</v>
      </c>
    </row>
    <row r="99" spans="1:26" ht="15" thickTop="1" x14ac:dyDescent="0.3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3">
      <c r="A100" s="9"/>
      <c r="B100" s="61">
        <v>44575.842125659721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">
      <c r="A101" s="9"/>
      <c r="B101" s="62" t="s">
        <v>56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">
      <c r="A102" s="9"/>
      <c r="B102" s="53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3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","406", " - ", "OPA! Greek")</f>
        <v>Department 406 - OPA! Greek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0</v>
      </c>
      <c r="E18" s="21"/>
      <c r="F18" s="32">
        <f t="shared" ref="F18:F22" si="0">IF(D$12=0,0,D18/D$12)</f>
        <v>0</v>
      </c>
      <c r="G18" s="21"/>
      <c r="H18" s="21">
        <f>SUM(OSRRefH22x_0)</f>
        <v>0</v>
      </c>
      <c r="I18" s="21"/>
      <c r="J18" s="32">
        <f t="shared" ref="J18:J22" si="1">IF(H$12=0,0,H18/H$12)</f>
        <v>0</v>
      </c>
      <c r="K18" s="4"/>
      <c r="L18" s="21">
        <f t="shared" ref="L18:L22" si="2">+D18-H18</f>
        <v>0</v>
      </c>
      <c r="M18" s="4"/>
      <c r="N18" s="32">
        <f t="shared" ref="N18:N22" si="3">IF(H18=0,0,L18/H18)</f>
        <v>0</v>
      </c>
      <c r="O18" s="10"/>
      <c r="P18" s="21">
        <f>SUM(OSRRefP22x_0)</f>
        <v>69.290000000000006</v>
      </c>
      <c r="Q18" s="21"/>
      <c r="R18" s="32">
        <f t="shared" ref="R18:R22" si="4">IF(P$12=0,0,P18/P$12)</f>
        <v>0</v>
      </c>
      <c r="S18" s="21"/>
      <c r="T18" s="21">
        <f>SUM(OSRRefT22x_0)</f>
        <v>0</v>
      </c>
      <c r="U18" s="21"/>
      <c r="V18" s="32">
        <f t="shared" ref="V18:V22" si="5">IF(T$12=0,0,T18/T$12)</f>
        <v>0</v>
      </c>
      <c r="W18" s="4"/>
      <c r="X18" s="21">
        <f t="shared" ref="X18:X22" si="6">+P18-T18</f>
        <v>69.290000000000006</v>
      </c>
      <c r="Y18" s="4"/>
      <c r="Z18" s="32">
        <f t="shared" ref="Z18:Z22" si="7">IF(T18=0,0,X18/T18)</f>
        <v>0</v>
      </c>
    </row>
    <row r="19" spans="1:26" s="28" customFormat="1" outlineLevel="1" collapsed="1" x14ac:dyDescent="0.3">
      <c r="A19" s="27"/>
      <c r="B19" s="14" t="str">
        <f>CONCATENATE("     ","Repair and Maintenance                            ")</f>
        <v xml:space="preserve">     Repair and Maintenance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69.290000000000006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69.290000000000006</v>
      </c>
      <c r="Y19" s="1"/>
      <c r="Z19" s="5">
        <f t="shared" si="7"/>
        <v>0</v>
      </c>
    </row>
    <row r="20" spans="1:26" s="24" customFormat="1" hidden="1" outlineLevel="2" x14ac:dyDescent="0.3">
      <c r="A20" s="29"/>
      <c r="B20" s="11" t="str">
        <f>CONCATENATE("          ", "6373", " - ", "MAINTENANCE CONTRACTS")</f>
        <v xml:space="preserve">          6373 - MAINTENANCE CONTRACTS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69.290000000000006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69.290000000000006</v>
      </c>
      <c r="Y20" s="2"/>
      <c r="Z20" s="7">
        <f t="shared" si="7"/>
        <v>0</v>
      </c>
    </row>
    <row r="21" spans="1:26" s="28" customFormat="1" outlineLevel="1" collapsed="1" x14ac:dyDescent="0.3">
      <c r="A21" s="27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"6284", " - ", "TRASH REMOVAL EXPENSE")</f>
        <v xml:space="preserve">          6284 - TRASH REMOVAL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10"/>
      <c r="B26" s="26" t="s">
        <v>277</v>
      </c>
      <c r="C26" s="26"/>
      <c r="D26" s="20">
        <f>+D16-D18+D24</f>
        <v>0</v>
      </c>
      <c r="E26" s="13"/>
      <c r="F26" s="22">
        <f>IF(D$12=0,0,D26/D$12)</f>
        <v>0</v>
      </c>
      <c r="G26" s="13"/>
      <c r="H26" s="20">
        <f>+H16-H18+H24</f>
        <v>0</v>
      </c>
      <c r="I26" s="13"/>
      <c r="J26" s="22">
        <f>IF(H$12=0,0,H26/H$12)</f>
        <v>0</v>
      </c>
      <c r="K26" s="16"/>
      <c r="L26" s="20">
        <f>+D26-H26</f>
        <v>0</v>
      </c>
      <c r="M26" s="16"/>
      <c r="N26" s="22">
        <f>IF(H26=0,0,L26/H26)</f>
        <v>0</v>
      </c>
      <c r="O26" s="25"/>
      <c r="P26" s="20">
        <f>+P16-P18+P24</f>
        <v>-69.290000000000006</v>
      </c>
      <c r="Q26" s="13"/>
      <c r="R26" s="22">
        <f>IF(P$12=0,0,P26/P$12)</f>
        <v>0</v>
      </c>
      <c r="S26" s="13"/>
      <c r="T26" s="20">
        <f>+T16-T18+T24</f>
        <v>0</v>
      </c>
      <c r="U26" s="13"/>
      <c r="V26" s="22">
        <f>IF(T$12=0,0,T26/T$12)</f>
        <v>0</v>
      </c>
      <c r="W26" s="16"/>
      <c r="X26" s="20">
        <f>+P26-T26</f>
        <v>-69.290000000000006</v>
      </c>
      <c r="Y26" s="16"/>
      <c r="Z26" s="22">
        <f>IF(T26=0,0,X26/T26)</f>
        <v>0</v>
      </c>
    </row>
    <row r="27" spans="1:26" x14ac:dyDescent="0.3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" thickBot="1" x14ac:dyDescent="0.35">
      <c r="A30" s="10"/>
      <c r="B30" s="26" t="s">
        <v>126</v>
      </c>
      <c r="C30" s="26"/>
      <c r="D30" s="31">
        <f>+D26-D28</f>
        <v>0</v>
      </c>
      <c r="E30" s="13"/>
      <c r="F30" s="30">
        <f>IF(D$12=0,0,D30/D$12)</f>
        <v>0</v>
      </c>
      <c r="G30" s="13"/>
      <c r="H30" s="31">
        <f>+H26-H28</f>
        <v>0</v>
      </c>
      <c r="I30" s="13"/>
      <c r="J30" s="30">
        <f>IF(H$12=0,0,H30/H$12)</f>
        <v>0</v>
      </c>
      <c r="K30" s="16"/>
      <c r="L30" s="31">
        <f>D30-H30</f>
        <v>0</v>
      </c>
      <c r="M30" s="16"/>
      <c r="N30" s="30">
        <f>IF(H30=0,0,L30/H30)</f>
        <v>0</v>
      </c>
      <c r="O30" s="25"/>
      <c r="P30" s="31">
        <f>+P26-P28</f>
        <v>-69.290000000000006</v>
      </c>
      <c r="Q30" s="13"/>
      <c r="R30" s="30">
        <f>IF(P$12=0,0,P30/P$12)</f>
        <v>0</v>
      </c>
      <c r="S30" s="13"/>
      <c r="T30" s="31">
        <f>+T26-T28</f>
        <v>0</v>
      </c>
      <c r="U30" s="13"/>
      <c r="V30" s="30">
        <f>IF(T$12=0,0,T30/T$12)</f>
        <v>0</v>
      </c>
      <c r="W30" s="16"/>
      <c r="X30" s="31">
        <f>P30-T30</f>
        <v>-69.290000000000006</v>
      </c>
      <c r="Y30" s="16"/>
      <c r="Z30" s="30">
        <f>IF(T30=0,0,X30/T30)</f>
        <v>0</v>
      </c>
    </row>
    <row r="31" spans="1:26" ht="15" thickTop="1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6" t="s">
        <v>294</v>
      </c>
      <c r="C33" s="26"/>
      <c r="D33" s="35">
        <f>SUM(D30:D32)</f>
        <v>0</v>
      </c>
      <c r="E33" s="13"/>
      <c r="F33" s="34">
        <f>IF(D$12=0,0,D33/D$12)</f>
        <v>0</v>
      </c>
      <c r="G33" s="13"/>
      <c r="H33" s="35">
        <f>SUM(H30:H32)</f>
        <v>0</v>
      </c>
      <c r="I33" s="13"/>
      <c r="J33" s="34">
        <f>IF(H$12=0,0,H33/H$12)</f>
        <v>0</v>
      </c>
      <c r="K33" s="16"/>
      <c r="L33" s="35">
        <f>+D33-H33</f>
        <v>0</v>
      </c>
      <c r="M33" s="16"/>
      <c r="N33" s="34">
        <f>IF(H33=0,0,L33/H33)</f>
        <v>0</v>
      </c>
      <c r="O33" s="25"/>
      <c r="P33" s="35">
        <f>SUM(P30:P32)</f>
        <v>-69.290000000000006</v>
      </c>
      <c r="Q33" s="13"/>
      <c r="R33" s="34">
        <f>IF(P$12=0,0,P33/P$12)</f>
        <v>0</v>
      </c>
      <c r="S33" s="13"/>
      <c r="T33" s="35">
        <f>SUM(T30:T32)</f>
        <v>0</v>
      </c>
      <c r="U33" s="13"/>
      <c r="V33" s="34">
        <f>IF(T$12=0,0,T33/T$12)</f>
        <v>0</v>
      </c>
      <c r="W33" s="16"/>
      <c r="X33" s="35">
        <f>+P33-T33</f>
        <v>-69.290000000000006</v>
      </c>
      <c r="Y33" s="16"/>
      <c r="Z33" s="34">
        <f>IF(T33=0,0,X33/T33)</f>
        <v>0</v>
      </c>
    </row>
    <row r="34" spans="1:26" ht="15" thickTop="1" x14ac:dyDescent="0.3">
      <c r="A34" s="9"/>
      <c r="C34" s="9"/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6" x14ac:dyDescent="0.3">
      <c r="A35" s="9"/>
      <c r="B35" s="61">
        <v>44575.842125659721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3">
      <c r="A36" s="9"/>
      <c r="B36" s="62" t="s">
        <v>56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53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","411", " - ", "University Dining")</f>
        <v>Department 411 - University Dining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45301.119999999995</v>
      </c>
      <c r="E18" s="21"/>
      <c r="F18" s="32">
        <f t="shared" ref="F18:F28" si="0">IF(D$12=0,0,D18/D$12)</f>
        <v>0</v>
      </c>
      <c r="G18" s="21"/>
      <c r="H18" s="21">
        <f>SUM(OSRRefH22x_0)</f>
        <v>42447.132430769241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2853.9875692307542</v>
      </c>
      <c r="M18" s="4"/>
      <c r="N18" s="32">
        <f t="shared" ref="N18:N28" si="3">IF(H18=0,0,L18/H18)</f>
        <v>6.7236286782989957E-2</v>
      </c>
      <c r="O18" s="10"/>
      <c r="P18" s="21">
        <f>SUM(OSRRefP22x_0)</f>
        <v>295185.68000000005</v>
      </c>
      <c r="Q18" s="21"/>
      <c r="R18" s="32">
        <f t="shared" ref="R18:R28" si="4">IF(P$12=0,0,P18/P$12)</f>
        <v>0</v>
      </c>
      <c r="S18" s="21"/>
      <c r="T18" s="21">
        <f>SUM(OSRRefT22x_0)</f>
        <v>264228.86080000002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30956.819200000027</v>
      </c>
      <c r="Y18" s="4"/>
      <c r="Z18" s="32">
        <f t="shared" ref="Z18:Z28" si="7">IF(T18=0,0,X18/T18)</f>
        <v>0.11715911390706046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9492.89</v>
      </c>
      <c r="E19" s="1"/>
      <c r="F19" s="5">
        <f t="shared" si="0"/>
        <v>0</v>
      </c>
      <c r="G19" s="1"/>
      <c r="H19" s="1">
        <f>SUM(OSRRefH22_0x_0)</f>
        <v>8483.2093538461559</v>
      </c>
      <c r="I19" s="1"/>
      <c r="J19" s="5">
        <f t="shared" si="1"/>
        <v>0</v>
      </c>
      <c r="K19" s="1"/>
      <c r="L19" s="1">
        <f t="shared" si="2"/>
        <v>1009.6806461538436</v>
      </c>
      <c r="M19" s="1"/>
      <c r="N19" s="5">
        <f t="shared" si="3"/>
        <v>0.11902106903633941</v>
      </c>
      <c r="O19" s="14"/>
      <c r="P19" s="1">
        <f>SUM(OSRRefP22_0x_0)</f>
        <v>58965.929999999993</v>
      </c>
      <c r="Q19" s="1"/>
      <c r="R19" s="5">
        <f t="shared" si="4"/>
        <v>0</v>
      </c>
      <c r="S19" s="1"/>
      <c r="T19" s="1">
        <f>SUM(OSRRefT22_0x_0)</f>
        <v>53583.860800000031</v>
      </c>
      <c r="U19" s="1"/>
      <c r="V19" s="5">
        <f t="shared" si="5"/>
        <v>0</v>
      </c>
      <c r="W19" s="1"/>
      <c r="X19" s="1">
        <f t="shared" si="6"/>
        <v>5382.0691999999617</v>
      </c>
      <c r="Y19" s="1"/>
      <c r="Z19" s="5">
        <f t="shared" si="7"/>
        <v>0.10044198233659114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>
        <v>1254.71</v>
      </c>
      <c r="E20" s="2"/>
      <c r="F20" s="7">
        <f t="shared" si="0"/>
        <v>0</v>
      </c>
      <c r="G20" s="2"/>
      <c r="H20" s="6">
        <v>1358.2308923076901</v>
      </c>
      <c r="I20" s="2"/>
      <c r="J20" s="7">
        <f t="shared" si="1"/>
        <v>0</v>
      </c>
      <c r="K20" s="2"/>
      <c r="L20" s="6">
        <f t="shared" si="2"/>
        <v>-103.52089230769002</v>
      </c>
      <c r="M20" s="2"/>
      <c r="N20" s="7">
        <f t="shared" si="3"/>
        <v>-7.6217447927284118E-2</v>
      </c>
      <c r="O20" s="11"/>
      <c r="P20" s="6">
        <v>8813.17</v>
      </c>
      <c r="Q20" s="2"/>
      <c r="R20" s="7">
        <f t="shared" si="4"/>
        <v>0</v>
      </c>
      <c r="S20" s="2"/>
      <c r="T20" s="6">
        <v>8828.5007999999998</v>
      </c>
      <c r="U20" s="2"/>
      <c r="V20" s="7">
        <f t="shared" si="5"/>
        <v>0</v>
      </c>
      <c r="W20" s="2"/>
      <c r="X20" s="6">
        <f t="shared" si="6"/>
        <v>-15.330799999999726</v>
      </c>
      <c r="Y20" s="2"/>
      <c r="Z20" s="7">
        <f t="shared" si="7"/>
        <v>-1.7365122739751834E-3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230.98</v>
      </c>
      <c r="E21" s="2"/>
      <c r="F21" s="7">
        <f t="shared" si="0"/>
        <v>0</v>
      </c>
      <c r="G21" s="2"/>
      <c r="H21" s="6">
        <v>672.63753846153895</v>
      </c>
      <c r="I21" s="2"/>
      <c r="J21" s="7">
        <f t="shared" si="1"/>
        <v>0</v>
      </c>
      <c r="K21" s="2"/>
      <c r="L21" s="6">
        <f t="shared" si="2"/>
        <v>-441.65753846153893</v>
      </c>
      <c r="M21" s="2"/>
      <c r="N21" s="7">
        <f t="shared" si="3"/>
        <v>-0.65660554638639557</v>
      </c>
      <c r="O21" s="11"/>
      <c r="P21" s="6">
        <v>1471.08</v>
      </c>
      <c r="Q21" s="2"/>
      <c r="R21" s="7">
        <f t="shared" si="4"/>
        <v>0</v>
      </c>
      <c r="S21" s="2"/>
      <c r="T21" s="6">
        <v>4372.1440000000102</v>
      </c>
      <c r="U21" s="2"/>
      <c r="V21" s="7">
        <f t="shared" si="5"/>
        <v>0</v>
      </c>
      <c r="W21" s="2"/>
      <c r="X21" s="6">
        <f t="shared" si="6"/>
        <v>-2901.0640000000103</v>
      </c>
      <c r="Y21" s="2"/>
      <c r="Z21" s="7">
        <f t="shared" si="7"/>
        <v>-0.66353349752432755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>
        <v>3318.36</v>
      </c>
      <c r="E22" s="2"/>
      <c r="F22" s="7">
        <f t="shared" si="0"/>
        <v>0</v>
      </c>
      <c r="G22" s="2"/>
      <c r="H22" s="6">
        <v>2764</v>
      </c>
      <c r="I22" s="2"/>
      <c r="J22" s="7">
        <f t="shared" si="1"/>
        <v>0</v>
      </c>
      <c r="K22" s="2"/>
      <c r="L22" s="6">
        <f t="shared" si="2"/>
        <v>554.36000000000013</v>
      </c>
      <c r="M22" s="2"/>
      <c r="N22" s="7">
        <f t="shared" si="3"/>
        <v>0.20056439942112886</v>
      </c>
      <c r="O22" s="11"/>
      <c r="P22" s="6">
        <v>19928.91</v>
      </c>
      <c r="Q22" s="2"/>
      <c r="R22" s="7">
        <f t="shared" si="4"/>
        <v>0</v>
      </c>
      <c r="S22" s="2"/>
      <c r="T22" s="6">
        <v>16584</v>
      </c>
      <c r="U22" s="2"/>
      <c r="V22" s="7">
        <f t="shared" si="5"/>
        <v>0</v>
      </c>
      <c r="W22" s="2"/>
      <c r="X22" s="6">
        <f t="shared" si="6"/>
        <v>3344.91</v>
      </c>
      <c r="Y22" s="2"/>
      <c r="Z22" s="7">
        <f t="shared" si="7"/>
        <v>0.20169500723589001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46.55</v>
      </c>
      <c r="E23" s="2"/>
      <c r="F23" s="7">
        <f t="shared" si="0"/>
        <v>0</v>
      </c>
      <c r="G23" s="2"/>
      <c r="H23" s="6">
        <v>37.270153846153903</v>
      </c>
      <c r="I23" s="2"/>
      <c r="J23" s="7">
        <f t="shared" si="1"/>
        <v>0</v>
      </c>
      <c r="K23" s="2"/>
      <c r="L23" s="6">
        <f t="shared" si="2"/>
        <v>9.2798461538460941</v>
      </c>
      <c r="M23" s="2"/>
      <c r="N23" s="7">
        <f t="shared" si="3"/>
        <v>0.2489886731391566</v>
      </c>
      <c r="O23" s="11"/>
      <c r="P23" s="6">
        <v>296.48</v>
      </c>
      <c r="Q23" s="2"/>
      <c r="R23" s="7">
        <f t="shared" si="4"/>
        <v>0</v>
      </c>
      <c r="S23" s="2"/>
      <c r="T23" s="6">
        <v>242.256</v>
      </c>
      <c r="U23" s="2"/>
      <c r="V23" s="7">
        <f t="shared" si="5"/>
        <v>0</v>
      </c>
      <c r="W23" s="2"/>
      <c r="X23" s="6">
        <f t="shared" si="6"/>
        <v>54.224000000000018</v>
      </c>
      <c r="Y23" s="2"/>
      <c r="Z23" s="7">
        <f t="shared" si="7"/>
        <v>0.22382933756026691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>
        <v>1948.13</v>
      </c>
      <c r="E24" s="2"/>
      <c r="F24" s="7">
        <f t="shared" si="0"/>
        <v>0</v>
      </c>
      <c r="G24" s="2"/>
      <c r="H24" s="6">
        <v>1526.3015384615401</v>
      </c>
      <c r="I24" s="2"/>
      <c r="J24" s="7">
        <f t="shared" si="1"/>
        <v>0</v>
      </c>
      <c r="K24" s="2"/>
      <c r="L24" s="6">
        <f t="shared" si="2"/>
        <v>421.82846153846003</v>
      </c>
      <c r="M24" s="2"/>
      <c r="N24" s="7">
        <f t="shared" si="3"/>
        <v>0.27637295181111377</v>
      </c>
      <c r="O24" s="11"/>
      <c r="P24" s="6">
        <v>12325.7</v>
      </c>
      <c r="Q24" s="2"/>
      <c r="R24" s="7">
        <f t="shared" si="4"/>
        <v>0</v>
      </c>
      <c r="S24" s="2"/>
      <c r="T24" s="6">
        <v>9920.9600000000191</v>
      </c>
      <c r="U24" s="2"/>
      <c r="V24" s="7">
        <f t="shared" si="5"/>
        <v>0</v>
      </c>
      <c r="W24" s="2"/>
      <c r="X24" s="6">
        <f t="shared" si="6"/>
        <v>2404.7399999999816</v>
      </c>
      <c r="Y24" s="2"/>
      <c r="Z24" s="7">
        <f t="shared" si="7"/>
        <v>0.24238984936941355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6">
        <v>1579.7</v>
      </c>
      <c r="E26" s="2"/>
      <c r="F26" s="7">
        <f t="shared" si="0"/>
        <v>0</v>
      </c>
      <c r="G26" s="2"/>
      <c r="H26" s="6">
        <v>1648</v>
      </c>
      <c r="I26" s="2"/>
      <c r="J26" s="7">
        <f t="shared" si="1"/>
        <v>0</v>
      </c>
      <c r="K26" s="2"/>
      <c r="L26" s="6">
        <f t="shared" si="2"/>
        <v>-68.299999999999955</v>
      </c>
      <c r="M26" s="2"/>
      <c r="N26" s="7">
        <f t="shared" si="3"/>
        <v>-4.1444174757281523E-2</v>
      </c>
      <c r="O26" s="11"/>
      <c r="P26" s="6">
        <v>9994.6299999999992</v>
      </c>
      <c r="Q26" s="2"/>
      <c r="R26" s="7">
        <f t="shared" si="4"/>
        <v>0</v>
      </c>
      <c r="S26" s="2"/>
      <c r="T26" s="6">
        <v>10712</v>
      </c>
      <c r="U26" s="2"/>
      <c r="V26" s="7">
        <f t="shared" si="5"/>
        <v>0</v>
      </c>
      <c r="W26" s="2"/>
      <c r="X26" s="6">
        <f t="shared" si="6"/>
        <v>-717.3700000000008</v>
      </c>
      <c r="Y26" s="2"/>
      <c r="Z26" s="7">
        <f t="shared" si="7"/>
        <v>-6.6968820014936592E-2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6">
        <v>825.9</v>
      </c>
      <c r="E27" s="2"/>
      <c r="F27" s="7">
        <f t="shared" si="0"/>
        <v>0</v>
      </c>
      <c r="G27" s="2"/>
      <c r="H27" s="6">
        <v>126.769230769231</v>
      </c>
      <c r="I27" s="2"/>
      <c r="J27" s="7">
        <f t="shared" si="1"/>
        <v>0</v>
      </c>
      <c r="K27" s="2"/>
      <c r="L27" s="6">
        <f t="shared" si="2"/>
        <v>699.13076923076892</v>
      </c>
      <c r="M27" s="2"/>
      <c r="N27" s="7">
        <f t="shared" si="3"/>
        <v>5.5149878640776571</v>
      </c>
      <c r="O27" s="11"/>
      <c r="P27" s="6">
        <v>4374.75</v>
      </c>
      <c r="Q27" s="2"/>
      <c r="R27" s="7">
        <f t="shared" si="4"/>
        <v>0</v>
      </c>
      <c r="S27" s="2"/>
      <c r="T27" s="6">
        <v>824.00000000000205</v>
      </c>
      <c r="U27" s="2"/>
      <c r="V27" s="7">
        <f t="shared" si="5"/>
        <v>0</v>
      </c>
      <c r="W27" s="2"/>
      <c r="X27" s="6">
        <f t="shared" si="6"/>
        <v>3550.7499999999982</v>
      </c>
      <c r="Y27" s="2"/>
      <c r="Z27" s="7">
        <f t="shared" si="7"/>
        <v>4.30916262135921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6">
        <v>288.56</v>
      </c>
      <c r="E28" s="2"/>
      <c r="F28" s="7">
        <f t="shared" si="0"/>
        <v>0</v>
      </c>
      <c r="G28" s="2"/>
      <c r="H28" s="6">
        <v>350</v>
      </c>
      <c r="I28" s="2"/>
      <c r="J28" s="7">
        <f t="shared" si="1"/>
        <v>0</v>
      </c>
      <c r="K28" s="2"/>
      <c r="L28" s="6">
        <f t="shared" si="2"/>
        <v>-61.44</v>
      </c>
      <c r="M28" s="2"/>
      <c r="N28" s="7">
        <f t="shared" si="3"/>
        <v>-0.17554285714285714</v>
      </c>
      <c r="O28" s="11"/>
      <c r="P28" s="6">
        <v>1761.21</v>
      </c>
      <c r="Q28" s="2"/>
      <c r="R28" s="7">
        <f t="shared" si="4"/>
        <v>0</v>
      </c>
      <c r="S28" s="2"/>
      <c r="T28" s="6">
        <v>2100</v>
      </c>
      <c r="U28" s="2"/>
      <c r="V28" s="7">
        <f t="shared" si="5"/>
        <v>0</v>
      </c>
      <c r="W28" s="2"/>
      <c r="X28" s="6">
        <f t="shared" si="6"/>
        <v>-338.78999999999996</v>
      </c>
      <c r="Y28" s="2"/>
      <c r="Z28" s="7">
        <f t="shared" si="7"/>
        <v>-0.1613285714285714</v>
      </c>
    </row>
    <row r="29" spans="1:26" s="28" customFormat="1" outlineLevel="1" collapsed="1" x14ac:dyDescent="0.3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15747.88</v>
      </c>
      <c r="E29" s="1"/>
      <c r="F29" s="5">
        <f t="shared" ref="F29:F39" si="8">IF(D$12=0,0,D29/D$12)</f>
        <v>0</v>
      </c>
      <c r="G29" s="1"/>
      <c r="H29" s="1">
        <f>SUM(OSRRefH22_1x_0)</f>
        <v>15972.923076923082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-225.04307692308248</v>
      </c>
      <c r="M29" s="1"/>
      <c r="N29" s="5">
        <f t="shared" ref="N29:N39" si="11">IF(H29=0,0,L29/H29)</f>
        <v>-1.4089035290491944E-2</v>
      </c>
      <c r="O29" s="14"/>
      <c r="P29" s="1">
        <f>SUM(OSRRefP22_1x_0)</f>
        <v>103849.13999999998</v>
      </c>
      <c r="Q29" s="1"/>
      <c r="R29" s="5">
        <f t="shared" ref="R29:R39" si="12">IF(P$12=0,0,P29/P$12)</f>
        <v>0</v>
      </c>
      <c r="S29" s="1"/>
      <c r="T29" s="1">
        <f>SUM(OSRRefT22_1x_0)</f>
        <v>103824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25.139999999984866</v>
      </c>
      <c r="Y29" s="1"/>
      <c r="Z29" s="5">
        <f t="shared" ref="Z29:Z39" si="15">IF(T29=0,0,X29/T29)</f>
        <v>2.4214054553845803E-4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>
        <v>10936.46</v>
      </c>
      <c r="E30" s="2"/>
      <c r="F30" s="7">
        <f t="shared" si="8"/>
        <v>0</v>
      </c>
      <c r="G30" s="2"/>
      <c r="H30" s="6">
        <v>10268.307692307701</v>
      </c>
      <c r="I30" s="2"/>
      <c r="J30" s="7">
        <f t="shared" si="9"/>
        <v>0</v>
      </c>
      <c r="K30" s="2"/>
      <c r="L30" s="6">
        <f t="shared" si="10"/>
        <v>668.15230769229856</v>
      </c>
      <c r="M30" s="2"/>
      <c r="N30" s="7">
        <f t="shared" si="11"/>
        <v>6.5069369531342694E-2</v>
      </c>
      <c r="O30" s="11"/>
      <c r="P30" s="6">
        <v>63869.77</v>
      </c>
      <c r="Q30" s="2"/>
      <c r="R30" s="7">
        <f t="shared" si="12"/>
        <v>0</v>
      </c>
      <c r="S30" s="2"/>
      <c r="T30" s="6">
        <v>66744</v>
      </c>
      <c r="U30" s="2"/>
      <c r="V30" s="7">
        <f t="shared" si="13"/>
        <v>0</v>
      </c>
      <c r="W30" s="2"/>
      <c r="X30" s="6">
        <f t="shared" si="14"/>
        <v>-2874.2300000000032</v>
      </c>
      <c r="Y30" s="2"/>
      <c r="Z30" s="7">
        <f t="shared" si="15"/>
        <v>-4.3063496344240726E-2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6">
        <v>4475.5</v>
      </c>
      <c r="E31" s="2"/>
      <c r="F31" s="7">
        <f t="shared" si="8"/>
        <v>0</v>
      </c>
      <c r="G31" s="2"/>
      <c r="H31" s="6">
        <v>5704.6153846153802</v>
      </c>
      <c r="I31" s="2"/>
      <c r="J31" s="7">
        <f t="shared" si="9"/>
        <v>0</v>
      </c>
      <c r="K31" s="2"/>
      <c r="L31" s="6">
        <f t="shared" si="10"/>
        <v>-1229.1153846153802</v>
      </c>
      <c r="M31" s="2"/>
      <c r="N31" s="7">
        <f t="shared" si="11"/>
        <v>-0.21545981661272862</v>
      </c>
      <c r="O31" s="11"/>
      <c r="P31" s="6">
        <v>36972.129999999997</v>
      </c>
      <c r="Q31" s="2"/>
      <c r="R31" s="7">
        <f t="shared" si="12"/>
        <v>0</v>
      </c>
      <c r="S31" s="2"/>
      <c r="T31" s="6">
        <v>37080</v>
      </c>
      <c r="U31" s="2"/>
      <c r="V31" s="7">
        <f t="shared" si="13"/>
        <v>0</v>
      </c>
      <c r="W31" s="2"/>
      <c r="X31" s="6">
        <f t="shared" si="14"/>
        <v>-107.87000000000262</v>
      </c>
      <c r="Y31" s="2"/>
      <c r="Z31" s="7">
        <f t="shared" si="15"/>
        <v>-2.9091154261057881E-3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6">
        <v>335.92</v>
      </c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335.92</v>
      </c>
      <c r="M33" s="2"/>
      <c r="N33" s="7">
        <f t="shared" si="11"/>
        <v>0</v>
      </c>
      <c r="O33" s="11"/>
      <c r="P33" s="6">
        <v>1380.76</v>
      </c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1380.76</v>
      </c>
      <c r="Y33" s="2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1626.48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1626.48</v>
      </c>
      <c r="Y34" s="2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0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SUM(OSRRefD22_2x_0)</f>
        <v>267</v>
      </c>
      <c r="E40" s="1"/>
      <c r="F40" s="5">
        <f t="shared" ref="F40:F44" si="16">IF(D$12=0,0,D40/D$12)</f>
        <v>0</v>
      </c>
      <c r="G40" s="1"/>
      <c r="H40" s="1">
        <f>SUM(OSRRefH22_2x_0)</f>
        <v>839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-572</v>
      </c>
      <c r="M40" s="1"/>
      <c r="N40" s="5">
        <f t="shared" ref="N40:N44" si="19">IF(H40=0,0,L40/H40)</f>
        <v>-0.68176400476758048</v>
      </c>
      <c r="O40" s="14"/>
      <c r="P40" s="1">
        <f>SUM(OSRRefP22_2x_0)</f>
        <v>1406.39</v>
      </c>
      <c r="Q40" s="1"/>
      <c r="R40" s="5">
        <f t="shared" ref="R40:R44" si="20">IF(P$12=0,0,P40/P$12)</f>
        <v>0</v>
      </c>
      <c r="S40" s="1"/>
      <c r="T40" s="1">
        <f>SUM(OSRRefT22_2x_0)</f>
        <v>5034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-3627.6099999999997</v>
      </c>
      <c r="Y40" s="1"/>
      <c r="Z40" s="5">
        <f t="shared" ref="Z40:Z44" si="23">IF(T40=0,0,X40/T40)</f>
        <v>-0.72062177195073496</v>
      </c>
    </row>
    <row r="41" spans="1:26" s="24" customFormat="1" hidden="1" outlineLevel="2" x14ac:dyDescent="0.3">
      <c r="A41" s="29"/>
      <c r="B41" s="11" t="str">
        <f>CONCATENATE("          ", "6381", " - ", "BANK/CREDIT CARD FEES")</f>
        <v xml:space="preserve">          6381 - BANK/CREDIT CARD FEES</v>
      </c>
      <c r="C41" s="11"/>
      <c r="D41" s="6">
        <v>267</v>
      </c>
      <c r="E41" s="2"/>
      <c r="F41" s="7">
        <f t="shared" si="16"/>
        <v>0</v>
      </c>
      <c r="G41" s="2"/>
      <c r="H41" s="6">
        <v>839</v>
      </c>
      <c r="I41" s="2"/>
      <c r="J41" s="7">
        <f t="shared" si="17"/>
        <v>0</v>
      </c>
      <c r="K41" s="2"/>
      <c r="L41" s="6">
        <f t="shared" si="18"/>
        <v>-572</v>
      </c>
      <c r="M41" s="2"/>
      <c r="N41" s="7">
        <f t="shared" si="19"/>
        <v>-0.68176400476758048</v>
      </c>
      <c r="O41" s="11"/>
      <c r="P41" s="6">
        <v>1406.39</v>
      </c>
      <c r="Q41" s="2"/>
      <c r="R41" s="7">
        <f t="shared" si="20"/>
        <v>0</v>
      </c>
      <c r="S41" s="2"/>
      <c r="T41" s="6">
        <v>5034</v>
      </c>
      <c r="U41" s="2"/>
      <c r="V41" s="7">
        <f t="shared" si="21"/>
        <v>0</v>
      </c>
      <c r="W41" s="2"/>
      <c r="X41" s="6">
        <f t="shared" si="22"/>
        <v>-3627.6099999999997</v>
      </c>
      <c r="Y41" s="2"/>
      <c r="Z41" s="7">
        <f t="shared" si="23"/>
        <v>-0.72062177195073496</v>
      </c>
    </row>
    <row r="42" spans="1:26" s="28" customFormat="1" outlineLevel="1" collapsed="1" x14ac:dyDescent="0.3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5331.53</v>
      </c>
      <c r="E42" s="1"/>
      <c r="F42" s="5">
        <f t="shared" si="16"/>
        <v>0</v>
      </c>
      <c r="G42" s="1"/>
      <c r="H42" s="1">
        <f>SUM(OSRRefH22_3x_0)</f>
        <v>5332</v>
      </c>
      <c r="I42" s="1"/>
      <c r="J42" s="5">
        <f t="shared" si="17"/>
        <v>0</v>
      </c>
      <c r="K42" s="1"/>
      <c r="L42" s="1">
        <f t="shared" si="18"/>
        <v>-0.47000000000025466</v>
      </c>
      <c r="M42" s="1"/>
      <c r="N42" s="5">
        <f t="shared" si="19"/>
        <v>-8.8147036759237562E-5</v>
      </c>
      <c r="O42" s="14"/>
      <c r="P42" s="1">
        <f>SUM(OSRRefP22_3x_0)</f>
        <v>31989.18</v>
      </c>
      <c r="Q42" s="1"/>
      <c r="R42" s="5">
        <f t="shared" si="20"/>
        <v>0</v>
      </c>
      <c r="S42" s="1"/>
      <c r="T42" s="1">
        <f>SUM(OSRRefT22_3x_0)</f>
        <v>31992</v>
      </c>
      <c r="U42" s="1"/>
      <c r="V42" s="5">
        <f t="shared" si="21"/>
        <v>0</v>
      </c>
      <c r="W42" s="1"/>
      <c r="X42" s="1">
        <f t="shared" si="22"/>
        <v>-2.819999999999709</v>
      </c>
      <c r="Y42" s="1"/>
      <c r="Z42" s="5">
        <f t="shared" si="23"/>
        <v>-8.8147036759180696E-5</v>
      </c>
    </row>
    <row r="43" spans="1:26" s="24" customFormat="1" hidden="1" outlineLevel="2" x14ac:dyDescent="0.3">
      <c r="A43" s="29"/>
      <c r="B43" s="11" t="str">
        <f>CONCATENATE("          ", "6321", " - ", "BUILDING DEPRECIATION")</f>
        <v xml:space="preserve">          6321 - BUILDING DEPRECIATION</v>
      </c>
      <c r="C43" s="11"/>
      <c r="D43" s="6">
        <v>1822.68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1822.68</v>
      </c>
      <c r="M43" s="2"/>
      <c r="N43" s="7">
        <f t="shared" si="19"/>
        <v>0</v>
      </c>
      <c r="O43" s="11"/>
      <c r="P43" s="6">
        <v>10936.08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10936.08</v>
      </c>
      <c r="Y43" s="2"/>
      <c r="Z43" s="7">
        <f t="shared" si="23"/>
        <v>0</v>
      </c>
    </row>
    <row r="44" spans="1:26" s="24" customFormat="1" hidden="1" outlineLevel="2" x14ac:dyDescent="0.3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3508.85</v>
      </c>
      <c r="E44" s="2"/>
      <c r="F44" s="7">
        <f t="shared" si="16"/>
        <v>0</v>
      </c>
      <c r="G44" s="2"/>
      <c r="H44" s="6">
        <v>5332</v>
      </c>
      <c r="I44" s="2"/>
      <c r="J44" s="7">
        <f t="shared" si="17"/>
        <v>0</v>
      </c>
      <c r="K44" s="2"/>
      <c r="L44" s="6">
        <f t="shared" si="18"/>
        <v>-1823.15</v>
      </c>
      <c r="M44" s="2"/>
      <c r="N44" s="7">
        <f t="shared" si="19"/>
        <v>-0.34192610652663169</v>
      </c>
      <c r="O44" s="11"/>
      <c r="P44" s="6">
        <v>21053.1</v>
      </c>
      <c r="Q44" s="2"/>
      <c r="R44" s="7">
        <f t="shared" si="20"/>
        <v>0</v>
      </c>
      <c r="S44" s="2"/>
      <c r="T44" s="6">
        <v>31992</v>
      </c>
      <c r="U44" s="2"/>
      <c r="V44" s="7">
        <f t="shared" si="21"/>
        <v>0</v>
      </c>
      <c r="W44" s="2"/>
      <c r="X44" s="6">
        <f t="shared" si="22"/>
        <v>-10938.900000000001</v>
      </c>
      <c r="Y44" s="2"/>
      <c r="Z44" s="7">
        <f t="shared" si="23"/>
        <v>-0.34192610652663169</v>
      </c>
    </row>
    <row r="45" spans="1:26" s="28" customFormat="1" outlineLevel="1" collapsed="1" x14ac:dyDescent="0.3">
      <c r="A45" s="27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ref="F45:F56" si="24">IF(D$12=0,0,D45/D$12)</f>
        <v>0</v>
      </c>
      <c r="G45" s="1"/>
      <c r="H45" s="1">
        <f>SUM(OSRRefH22_4x_0)</f>
        <v>0</v>
      </c>
      <c r="I45" s="1"/>
      <c r="J45" s="5">
        <f t="shared" ref="J45:J56" si="25">IF(H$12=0,0,H45/H$12)</f>
        <v>0</v>
      </c>
      <c r="K45" s="1"/>
      <c r="L45" s="1">
        <f t="shared" ref="L45:L56" si="26">+D45-H45</f>
        <v>0</v>
      </c>
      <c r="M45" s="1"/>
      <c r="N45" s="5">
        <f t="shared" ref="N45:N56" si="27">IF(H45=0,0,L45/H45)</f>
        <v>0</v>
      </c>
      <c r="O45" s="14"/>
      <c r="P45" s="1">
        <f>SUM(OSRRefP22_4x_0)</f>
        <v>18</v>
      </c>
      <c r="Q45" s="1"/>
      <c r="R45" s="5">
        <f t="shared" ref="R45:R56" si="28">IF(P$12=0,0,P45/P$12)</f>
        <v>0</v>
      </c>
      <c r="S45" s="1"/>
      <c r="T45" s="1">
        <f>SUM(OSRRefT22_4x_0)</f>
        <v>0</v>
      </c>
      <c r="U45" s="1"/>
      <c r="V45" s="5">
        <f t="shared" ref="V45:V56" si="29">IF(T$12=0,0,T45/T$12)</f>
        <v>0</v>
      </c>
      <c r="W45" s="1"/>
      <c r="X45" s="1">
        <f t="shared" ref="X45:X56" si="30">+P45-T45</f>
        <v>18</v>
      </c>
      <c r="Y45" s="1"/>
      <c r="Z45" s="5">
        <f t="shared" ref="Z45:Z56" si="31">IF(T45=0,0,X45/T45)</f>
        <v>0</v>
      </c>
    </row>
    <row r="46" spans="1:26" s="24" customFormat="1" hidden="1" outlineLevel="2" x14ac:dyDescent="0.3">
      <c r="A46" s="29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18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18</v>
      </c>
      <c r="Y46" s="2"/>
      <c r="Z46" s="7">
        <f t="shared" si="31"/>
        <v>0</v>
      </c>
    </row>
    <row r="47" spans="1:26" s="28" customFormat="1" outlineLevel="1" collapsed="1" x14ac:dyDescent="0.3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si="24"/>
        <v>0</v>
      </c>
      <c r="G47" s="1"/>
      <c r="H47" s="1">
        <f>SUM(OSRRefH22_5x_0)</f>
        <v>300</v>
      </c>
      <c r="I47" s="1"/>
      <c r="J47" s="5">
        <f t="shared" si="25"/>
        <v>0</v>
      </c>
      <c r="K47" s="1"/>
      <c r="L47" s="1">
        <f t="shared" si="26"/>
        <v>-208.74</v>
      </c>
      <c r="M47" s="1"/>
      <c r="N47" s="5">
        <f t="shared" si="27"/>
        <v>-0.69580000000000009</v>
      </c>
      <c r="O47" s="14"/>
      <c r="P47" s="1">
        <f>SUM(OSRRefP22_5x_0)</f>
        <v>547.55999999999995</v>
      </c>
      <c r="Q47" s="1"/>
      <c r="R47" s="5">
        <f t="shared" si="28"/>
        <v>0</v>
      </c>
      <c r="S47" s="1"/>
      <c r="T47" s="1">
        <f>SUM(OSRRefT22_5x_0)</f>
        <v>1800</v>
      </c>
      <c r="U47" s="1"/>
      <c r="V47" s="5">
        <f t="shared" si="29"/>
        <v>0</v>
      </c>
      <c r="W47" s="1"/>
      <c r="X47" s="1">
        <f t="shared" si="30"/>
        <v>-1252.44</v>
      </c>
      <c r="Y47" s="1"/>
      <c r="Z47" s="5">
        <f t="shared" si="31"/>
        <v>-0.69580000000000009</v>
      </c>
    </row>
    <row r="48" spans="1:26" s="24" customFormat="1" hidden="1" outlineLevel="2" x14ac:dyDescent="0.3">
      <c r="A48" s="29"/>
      <c r="B48" s="11" t="str">
        <f>CONCATENATE("          ", "6351", " - ", "EQUIPMENT RENTAL")</f>
        <v xml:space="preserve">          6351 - EQUIPMENT RENTAL</v>
      </c>
      <c r="C48" s="11"/>
      <c r="D48" s="6">
        <v>91.26</v>
      </c>
      <c r="E48" s="2"/>
      <c r="F48" s="7">
        <f t="shared" si="24"/>
        <v>0</v>
      </c>
      <c r="G48" s="2"/>
      <c r="H48" s="6">
        <v>300</v>
      </c>
      <c r="I48" s="2"/>
      <c r="J48" s="7">
        <f t="shared" si="25"/>
        <v>0</v>
      </c>
      <c r="K48" s="2"/>
      <c r="L48" s="6">
        <f t="shared" si="26"/>
        <v>-208.74</v>
      </c>
      <c r="M48" s="2"/>
      <c r="N48" s="7">
        <f t="shared" si="27"/>
        <v>-0.69580000000000009</v>
      </c>
      <c r="O48" s="11"/>
      <c r="P48" s="6">
        <v>547.55999999999995</v>
      </c>
      <c r="Q48" s="2"/>
      <c r="R48" s="7">
        <f t="shared" si="28"/>
        <v>0</v>
      </c>
      <c r="S48" s="2"/>
      <c r="T48" s="6">
        <v>1800</v>
      </c>
      <c r="U48" s="2"/>
      <c r="V48" s="7">
        <f t="shared" si="29"/>
        <v>0</v>
      </c>
      <c r="W48" s="2"/>
      <c r="X48" s="6">
        <f t="shared" si="30"/>
        <v>-1252.44</v>
      </c>
      <c r="Y48" s="2"/>
      <c r="Z48" s="7">
        <f t="shared" si="31"/>
        <v>-0.69580000000000009</v>
      </c>
    </row>
    <row r="49" spans="1:26" s="28" customFormat="1" outlineLevel="1" collapsed="1" x14ac:dyDescent="0.3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500</v>
      </c>
      <c r="I49" s="1"/>
      <c r="J49" s="5">
        <f t="shared" si="25"/>
        <v>0</v>
      </c>
      <c r="K49" s="1"/>
      <c r="L49" s="1">
        <f t="shared" si="26"/>
        <v>-500</v>
      </c>
      <c r="M49" s="1"/>
      <c r="N49" s="5">
        <f t="shared" si="27"/>
        <v>-1</v>
      </c>
      <c r="O49" s="14"/>
      <c r="P49" s="1">
        <f>SUM(OSRRefP22_6x_0)</f>
        <v>122.51</v>
      </c>
      <c r="Q49" s="1"/>
      <c r="R49" s="5">
        <f t="shared" si="28"/>
        <v>0</v>
      </c>
      <c r="S49" s="1"/>
      <c r="T49" s="1">
        <f>SUM(OSRRefT22_6x_0)</f>
        <v>1000</v>
      </c>
      <c r="U49" s="1"/>
      <c r="V49" s="5">
        <f t="shared" si="29"/>
        <v>0</v>
      </c>
      <c r="W49" s="1"/>
      <c r="X49" s="1">
        <f t="shared" si="30"/>
        <v>-877.49</v>
      </c>
      <c r="Y49" s="1"/>
      <c r="Z49" s="5">
        <f t="shared" si="31"/>
        <v>-0.87748999999999999</v>
      </c>
    </row>
    <row r="50" spans="1:26" s="24" customFormat="1" hidden="1" outlineLevel="2" x14ac:dyDescent="0.3">
      <c r="A50" s="29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4"/>
        <v>0</v>
      </c>
      <c r="G50" s="2"/>
      <c r="H50" s="6">
        <v>500</v>
      </c>
      <c r="I50" s="2"/>
      <c r="J50" s="7">
        <f t="shared" si="25"/>
        <v>0</v>
      </c>
      <c r="K50" s="2"/>
      <c r="L50" s="6">
        <f t="shared" si="26"/>
        <v>-500</v>
      </c>
      <c r="M50" s="2"/>
      <c r="N50" s="7">
        <f t="shared" si="27"/>
        <v>-1</v>
      </c>
      <c r="O50" s="11"/>
      <c r="P50" s="6">
        <v>122.51</v>
      </c>
      <c r="Q50" s="2"/>
      <c r="R50" s="7">
        <f t="shared" si="28"/>
        <v>0</v>
      </c>
      <c r="S50" s="2"/>
      <c r="T50" s="6">
        <v>1000</v>
      </c>
      <c r="U50" s="2"/>
      <c r="V50" s="7">
        <f t="shared" si="29"/>
        <v>0</v>
      </c>
      <c r="W50" s="2"/>
      <c r="X50" s="6">
        <f t="shared" si="30"/>
        <v>-877.49</v>
      </c>
      <c r="Y50" s="2"/>
      <c r="Z50" s="7">
        <f t="shared" si="31"/>
        <v>-0.87748999999999999</v>
      </c>
    </row>
    <row r="51" spans="1:26" s="28" customFormat="1" outlineLevel="1" collapsed="1" x14ac:dyDescent="0.3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4884.6000000000004</v>
      </c>
      <c r="E51" s="1"/>
      <c r="F51" s="5">
        <f t="shared" si="24"/>
        <v>0</v>
      </c>
      <c r="G51" s="1"/>
      <c r="H51" s="1">
        <f>SUM(OSRRefH22_7x_0)</f>
        <v>4820</v>
      </c>
      <c r="I51" s="1"/>
      <c r="J51" s="5">
        <f t="shared" si="25"/>
        <v>0</v>
      </c>
      <c r="K51" s="1"/>
      <c r="L51" s="1">
        <f t="shared" si="26"/>
        <v>64.600000000000364</v>
      </c>
      <c r="M51" s="1"/>
      <c r="N51" s="5">
        <f t="shared" si="27"/>
        <v>1.3402489626556092E-2</v>
      </c>
      <c r="O51" s="14"/>
      <c r="P51" s="1">
        <f>SUM(OSRRefP22_7x_0)</f>
        <v>36190.6</v>
      </c>
      <c r="Q51" s="1"/>
      <c r="R51" s="5">
        <f t="shared" si="28"/>
        <v>0</v>
      </c>
      <c r="S51" s="1"/>
      <c r="T51" s="1">
        <f>SUM(OSRRefT22_7x_0)</f>
        <v>28920</v>
      </c>
      <c r="U51" s="1"/>
      <c r="V51" s="5">
        <f t="shared" si="29"/>
        <v>0</v>
      </c>
      <c r="W51" s="1"/>
      <c r="X51" s="1">
        <f t="shared" si="30"/>
        <v>7270.5999999999985</v>
      </c>
      <c r="Y51" s="1"/>
      <c r="Z51" s="5">
        <f t="shared" si="31"/>
        <v>0.25140387275242043</v>
      </c>
    </row>
    <row r="52" spans="1:26" s="24" customFormat="1" hidden="1" outlineLevel="2" x14ac:dyDescent="0.3">
      <c r="A52" s="29"/>
      <c r="B52" s="11" t="str">
        <f>CONCATENATE("          ", "6314", " - ", "LIABILITY INSURANCE")</f>
        <v xml:space="preserve">          6314 - LIABILITY INSURANCE</v>
      </c>
      <c r="C52" s="11"/>
      <c r="D52" s="6">
        <v>4884.6000000000004</v>
      </c>
      <c r="E52" s="2"/>
      <c r="F52" s="7">
        <f t="shared" si="24"/>
        <v>0</v>
      </c>
      <c r="G52" s="2"/>
      <c r="H52" s="6">
        <v>4820</v>
      </c>
      <c r="I52" s="2"/>
      <c r="J52" s="7">
        <f t="shared" si="25"/>
        <v>0</v>
      </c>
      <c r="K52" s="2"/>
      <c r="L52" s="6">
        <f t="shared" si="26"/>
        <v>64.600000000000364</v>
      </c>
      <c r="M52" s="2"/>
      <c r="N52" s="7">
        <f t="shared" si="27"/>
        <v>1.3402489626556092E-2</v>
      </c>
      <c r="O52" s="11"/>
      <c r="P52" s="6">
        <v>36190.6</v>
      </c>
      <c r="Q52" s="2"/>
      <c r="R52" s="7">
        <f t="shared" si="28"/>
        <v>0</v>
      </c>
      <c r="S52" s="2"/>
      <c r="T52" s="6">
        <v>28920</v>
      </c>
      <c r="U52" s="2"/>
      <c r="V52" s="7">
        <f t="shared" si="29"/>
        <v>0</v>
      </c>
      <c r="W52" s="2"/>
      <c r="X52" s="6">
        <f t="shared" si="30"/>
        <v>7270.5999999999985</v>
      </c>
      <c r="Y52" s="2"/>
      <c r="Z52" s="7">
        <f t="shared" si="31"/>
        <v>0.25140387275242043</v>
      </c>
    </row>
    <row r="53" spans="1:26" s="28" customFormat="1" outlineLevel="1" collapsed="1" x14ac:dyDescent="0.3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3229.56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3229.56</v>
      </c>
      <c r="M53" s="1"/>
      <c r="N53" s="5">
        <f t="shared" si="27"/>
        <v>0</v>
      </c>
      <c r="O53" s="14"/>
      <c r="P53" s="1">
        <f>SUM(OSRRefP22_8x_0)</f>
        <v>19758.79</v>
      </c>
      <c r="Q53" s="1"/>
      <c r="R53" s="5">
        <f t="shared" si="28"/>
        <v>0</v>
      </c>
      <c r="S53" s="1"/>
      <c r="T53" s="1">
        <f>SUM(OSRRefT22_8x_0)</f>
        <v>0</v>
      </c>
      <c r="U53" s="1"/>
      <c r="V53" s="5">
        <f t="shared" si="29"/>
        <v>0</v>
      </c>
      <c r="W53" s="1"/>
      <c r="X53" s="1">
        <f t="shared" si="30"/>
        <v>19758.79</v>
      </c>
      <c r="Y53" s="1"/>
      <c r="Z53" s="5">
        <f t="shared" si="31"/>
        <v>0</v>
      </c>
    </row>
    <row r="54" spans="1:26" s="24" customFormat="1" hidden="1" outlineLevel="2" x14ac:dyDescent="0.3">
      <c r="A54" s="29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618.36</v>
      </c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618.36</v>
      </c>
      <c r="M54" s="2"/>
      <c r="N54" s="7">
        <f t="shared" si="27"/>
        <v>0</v>
      </c>
      <c r="O54" s="11"/>
      <c r="P54" s="6">
        <v>6336.08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6336.08</v>
      </c>
      <c r="Y54" s="2"/>
      <c r="Z54" s="7">
        <f t="shared" si="31"/>
        <v>0</v>
      </c>
    </row>
    <row r="55" spans="1:26" s="24" customFormat="1" hidden="1" outlineLevel="2" x14ac:dyDescent="0.3">
      <c r="A55" s="29"/>
      <c r="B55" s="11" t="str">
        <f>CONCATENATE("          ", "6373", " - ", "MAINTENANCE CONTRACTS")</f>
        <v xml:space="preserve">          6373 - MAINTENANCE CONTRACTS</v>
      </c>
      <c r="C55" s="11"/>
      <c r="D55" s="6">
        <v>2611.1999999999998</v>
      </c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2611.1999999999998</v>
      </c>
      <c r="M55" s="2"/>
      <c r="N55" s="7">
        <f t="shared" si="27"/>
        <v>0</v>
      </c>
      <c r="O55" s="11"/>
      <c r="P55" s="6">
        <v>5220.45</v>
      </c>
      <c r="Q55" s="2"/>
      <c r="R55" s="7">
        <f t="shared" si="28"/>
        <v>0</v>
      </c>
      <c r="S55" s="2"/>
      <c r="T55" s="6"/>
      <c r="U55" s="2"/>
      <c r="V55" s="7">
        <f t="shared" si="29"/>
        <v>0</v>
      </c>
      <c r="W55" s="2"/>
      <c r="X55" s="6">
        <f t="shared" si="30"/>
        <v>5220.45</v>
      </c>
      <c r="Y55" s="2"/>
      <c r="Z55" s="7">
        <f t="shared" si="31"/>
        <v>0</v>
      </c>
    </row>
    <row r="56" spans="1:26" s="24" customFormat="1" hidden="1" outlineLevel="2" x14ac:dyDescent="0.3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>
        <v>8202.26</v>
      </c>
      <c r="Q56" s="2"/>
      <c r="R56" s="7">
        <f t="shared" si="28"/>
        <v>0</v>
      </c>
      <c r="S56" s="2"/>
      <c r="T56" s="6"/>
      <c r="U56" s="2"/>
      <c r="V56" s="7">
        <f t="shared" si="29"/>
        <v>0</v>
      </c>
      <c r="W56" s="2"/>
      <c r="X56" s="6">
        <f t="shared" si="30"/>
        <v>8202.26</v>
      </c>
      <c r="Y56" s="2"/>
      <c r="Z56" s="7">
        <f t="shared" si="31"/>
        <v>0</v>
      </c>
    </row>
    <row r="57" spans="1:26" s="28" customFormat="1" outlineLevel="1" collapsed="1" x14ac:dyDescent="0.3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SUM(OSRRefD22_9x_0)</f>
        <v>670.1</v>
      </c>
      <c r="E57" s="1"/>
      <c r="F57" s="5">
        <f t="shared" ref="F57:F60" si="32">IF(D$12=0,0,D57/D$12)</f>
        <v>0</v>
      </c>
      <c r="G57" s="1"/>
      <c r="H57" s="1">
        <f>SUM(OSRRefH22_9x_0)</f>
        <v>650</v>
      </c>
      <c r="I57" s="1"/>
      <c r="J57" s="5">
        <f t="shared" ref="J57:J60" si="33">IF(H$12=0,0,H57/H$12)</f>
        <v>0</v>
      </c>
      <c r="K57" s="1"/>
      <c r="L57" s="1">
        <f t="shared" ref="L57:L60" si="34">+D57-H57</f>
        <v>20.100000000000023</v>
      </c>
      <c r="M57" s="1"/>
      <c r="N57" s="5">
        <f t="shared" ref="N57:N60" si="35">IF(H57=0,0,L57/H57)</f>
        <v>3.0923076923076959E-2</v>
      </c>
      <c r="O57" s="14"/>
      <c r="P57" s="1">
        <f>SUM(OSRRefP22_9x_0)</f>
        <v>7694.92</v>
      </c>
      <c r="Q57" s="1"/>
      <c r="R57" s="5">
        <f t="shared" ref="R57:R60" si="36">IF(P$12=0,0,P57/P$12)</f>
        <v>0</v>
      </c>
      <c r="S57" s="1"/>
      <c r="T57" s="1">
        <f>SUM(OSRRefT22_9x_0)</f>
        <v>4775</v>
      </c>
      <c r="U57" s="1"/>
      <c r="V57" s="5">
        <f t="shared" ref="V57:V60" si="37">IF(T$12=0,0,T57/T$12)</f>
        <v>0</v>
      </c>
      <c r="W57" s="1"/>
      <c r="X57" s="1">
        <f t="shared" ref="X57:X60" si="38">+P57-T57</f>
        <v>2919.92</v>
      </c>
      <c r="Y57" s="1"/>
      <c r="Z57" s="5">
        <f t="shared" ref="Z57:Z60" si="39">IF(T57=0,0,X57/T57)</f>
        <v>0.61150157068062827</v>
      </c>
    </row>
    <row r="58" spans="1:26" s="24" customFormat="1" hidden="1" outlineLevel="2" x14ac:dyDescent="0.3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6">
        <v>670.1</v>
      </c>
      <c r="E58" s="2"/>
      <c r="F58" s="7">
        <f t="shared" si="32"/>
        <v>0</v>
      </c>
      <c r="G58" s="2"/>
      <c r="H58" s="6">
        <v>650</v>
      </c>
      <c r="I58" s="2"/>
      <c r="J58" s="7">
        <f t="shared" si="33"/>
        <v>0</v>
      </c>
      <c r="K58" s="2"/>
      <c r="L58" s="6">
        <f t="shared" si="34"/>
        <v>20.100000000000023</v>
      </c>
      <c r="M58" s="2"/>
      <c r="N58" s="7">
        <f t="shared" si="35"/>
        <v>3.0923076923076959E-2</v>
      </c>
      <c r="O58" s="11"/>
      <c r="P58" s="6">
        <v>4020.6</v>
      </c>
      <c r="Q58" s="2"/>
      <c r="R58" s="7">
        <f t="shared" si="36"/>
        <v>0</v>
      </c>
      <c r="S58" s="2"/>
      <c r="T58" s="6">
        <v>3900</v>
      </c>
      <c r="U58" s="2"/>
      <c r="V58" s="7">
        <f t="shared" si="37"/>
        <v>0</v>
      </c>
      <c r="W58" s="2"/>
      <c r="X58" s="6">
        <f t="shared" si="38"/>
        <v>120.59999999999991</v>
      </c>
      <c r="Y58" s="2"/>
      <c r="Z58" s="7">
        <f t="shared" si="39"/>
        <v>3.09230769230769E-2</v>
      </c>
    </row>
    <row r="59" spans="1:26" s="24" customFormat="1" hidden="1" outlineLevel="2" x14ac:dyDescent="0.3">
      <c r="A59" s="29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/>
      <c r="Q59" s="2"/>
      <c r="R59" s="7">
        <f t="shared" si="36"/>
        <v>0</v>
      </c>
      <c r="S59" s="2"/>
      <c r="T59" s="6">
        <v>0</v>
      </c>
      <c r="U59" s="2"/>
      <c r="V59" s="7">
        <f t="shared" si="37"/>
        <v>0</v>
      </c>
      <c r="W59" s="2"/>
      <c r="X59" s="6">
        <f t="shared" si="38"/>
        <v>0</v>
      </c>
      <c r="Y59" s="2"/>
      <c r="Z59" s="7">
        <f t="shared" si="39"/>
        <v>0</v>
      </c>
    </row>
    <row r="60" spans="1:26" s="24" customFormat="1" hidden="1" outlineLevel="2" x14ac:dyDescent="0.3">
      <c r="A60" s="29"/>
      <c r="B60" s="11" t="str">
        <f>CONCATENATE("          ", "6285", " - ", "JANITORIAL SERVICES")</f>
        <v xml:space="preserve">          6285 - JANITORIAL SERVICES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>
        <v>3674.32</v>
      </c>
      <c r="Q60" s="2"/>
      <c r="R60" s="7">
        <f t="shared" si="36"/>
        <v>0</v>
      </c>
      <c r="S60" s="2"/>
      <c r="T60" s="6">
        <v>875</v>
      </c>
      <c r="U60" s="2"/>
      <c r="V60" s="7">
        <f t="shared" si="37"/>
        <v>0</v>
      </c>
      <c r="W60" s="2"/>
      <c r="X60" s="6">
        <f t="shared" si="38"/>
        <v>2799.32</v>
      </c>
      <c r="Y60" s="2"/>
      <c r="Z60" s="7">
        <f t="shared" si="39"/>
        <v>3.1992228571428574</v>
      </c>
    </row>
    <row r="61" spans="1:26" s="28" customFormat="1" outlineLevel="1" collapsed="1" x14ac:dyDescent="0.3">
      <c r="A61" s="27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SUM(OSRRefD22_10x_0)</f>
        <v>0</v>
      </c>
      <c r="E61" s="1"/>
      <c r="F61" s="5">
        <f t="shared" ref="F61:F70" si="40">IF(D$12=0,0,D61/D$12)</f>
        <v>0</v>
      </c>
      <c r="G61" s="1"/>
      <c r="H61" s="1">
        <f>SUM(OSRRefH22_10x_0)</f>
        <v>0</v>
      </c>
      <c r="I61" s="1"/>
      <c r="J61" s="5">
        <f t="shared" ref="J61:J70" si="41">IF(H$12=0,0,H61/H$12)</f>
        <v>0</v>
      </c>
      <c r="K61" s="1"/>
      <c r="L61" s="1">
        <f t="shared" ref="L61:L70" si="42">+D61-H61</f>
        <v>0</v>
      </c>
      <c r="M61" s="1"/>
      <c r="N61" s="5">
        <f t="shared" ref="N61:N70" si="43">IF(H61=0,0,L61/H61)</f>
        <v>0</v>
      </c>
      <c r="O61" s="14"/>
      <c r="P61" s="1">
        <f>SUM(OSRRefP22_10x_0)</f>
        <v>160.16</v>
      </c>
      <c r="Q61" s="1"/>
      <c r="R61" s="5">
        <f t="shared" ref="R61:R70" si="44">IF(P$12=0,0,P61/P$12)</f>
        <v>0</v>
      </c>
      <c r="S61" s="1"/>
      <c r="T61" s="1">
        <f>SUM(OSRRefT22_10x_0)</f>
        <v>0</v>
      </c>
      <c r="U61" s="1"/>
      <c r="V61" s="5">
        <f t="shared" ref="V61:V70" si="45">IF(T$12=0,0,T61/T$12)</f>
        <v>0</v>
      </c>
      <c r="W61" s="1"/>
      <c r="X61" s="1">
        <f t="shared" ref="X61:X70" si="46">+P61-T61</f>
        <v>160.16</v>
      </c>
      <c r="Y61" s="1"/>
      <c r="Z61" s="5">
        <f t="shared" ref="Z61:Z70" si="47">IF(T61=0,0,X61/T61)</f>
        <v>0</v>
      </c>
    </row>
    <row r="62" spans="1:26" s="24" customFormat="1" hidden="1" outlineLevel="2" x14ac:dyDescent="0.3">
      <c r="A62" s="29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40"/>
        <v>0</v>
      </c>
      <c r="G62" s="2"/>
      <c r="H62" s="6"/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>
        <v>160.16</v>
      </c>
      <c r="Q62" s="2"/>
      <c r="R62" s="7">
        <f t="shared" si="44"/>
        <v>0</v>
      </c>
      <c r="S62" s="2"/>
      <c r="T62" s="6"/>
      <c r="U62" s="2"/>
      <c r="V62" s="7">
        <f t="shared" si="45"/>
        <v>0</v>
      </c>
      <c r="W62" s="2"/>
      <c r="X62" s="6">
        <f t="shared" si="46"/>
        <v>160.16</v>
      </c>
      <c r="Y62" s="2"/>
      <c r="Z62" s="7">
        <f t="shared" si="47"/>
        <v>0</v>
      </c>
    </row>
    <row r="63" spans="1:26" s="28" customFormat="1" outlineLevel="1" collapsed="1" x14ac:dyDescent="0.3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36.299999999999997</v>
      </c>
      <c r="E63" s="1"/>
      <c r="F63" s="5">
        <f t="shared" si="40"/>
        <v>0</v>
      </c>
      <c r="G63" s="1"/>
      <c r="H63" s="1">
        <f>SUM(OSRRefH22_11x_0)</f>
        <v>0</v>
      </c>
      <c r="I63" s="1"/>
      <c r="J63" s="5">
        <f t="shared" si="41"/>
        <v>0</v>
      </c>
      <c r="K63" s="1"/>
      <c r="L63" s="1">
        <f t="shared" si="42"/>
        <v>36.299999999999997</v>
      </c>
      <c r="M63" s="1"/>
      <c r="N63" s="5">
        <f t="shared" si="43"/>
        <v>0</v>
      </c>
      <c r="O63" s="14"/>
      <c r="P63" s="1">
        <f>SUM(OSRRefP22_11x_0)</f>
        <v>1163.9100000000001</v>
      </c>
      <c r="Q63" s="1"/>
      <c r="R63" s="5">
        <f t="shared" si="44"/>
        <v>0</v>
      </c>
      <c r="S63" s="1"/>
      <c r="T63" s="1">
        <f>SUM(OSRRefT22_11x_0)</f>
        <v>0</v>
      </c>
      <c r="U63" s="1"/>
      <c r="V63" s="5">
        <f t="shared" si="45"/>
        <v>0</v>
      </c>
      <c r="W63" s="1"/>
      <c r="X63" s="1">
        <f t="shared" si="46"/>
        <v>1163.9100000000001</v>
      </c>
      <c r="Y63" s="1"/>
      <c r="Z63" s="5">
        <f t="shared" si="47"/>
        <v>0</v>
      </c>
    </row>
    <row r="64" spans="1:26" s="24" customFormat="1" hidden="1" outlineLevel="2" x14ac:dyDescent="0.3">
      <c r="A64" s="29"/>
      <c r="B64" s="11" t="str">
        <f>CONCATENATE("          ", "6309", " - ", "TELEPHONE")</f>
        <v xml:space="preserve">          6309 - TELEPHONE</v>
      </c>
      <c r="C64" s="11"/>
      <c r="D64" s="6">
        <v>36.299999999999997</v>
      </c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36.299999999999997</v>
      </c>
      <c r="M64" s="2"/>
      <c r="N64" s="7">
        <f t="shared" si="43"/>
        <v>0</v>
      </c>
      <c r="O64" s="11"/>
      <c r="P64" s="6">
        <v>1163.9100000000001</v>
      </c>
      <c r="Q64" s="2"/>
      <c r="R64" s="7">
        <f t="shared" si="44"/>
        <v>0</v>
      </c>
      <c r="S64" s="2"/>
      <c r="T64" s="6"/>
      <c r="U64" s="2"/>
      <c r="V64" s="7">
        <f t="shared" si="45"/>
        <v>0</v>
      </c>
      <c r="W64" s="2"/>
      <c r="X64" s="6">
        <f t="shared" si="46"/>
        <v>1163.9100000000001</v>
      </c>
      <c r="Y64" s="2"/>
      <c r="Z64" s="7">
        <f t="shared" si="47"/>
        <v>0</v>
      </c>
    </row>
    <row r="65" spans="1:26" s="28" customFormat="1" outlineLevel="1" collapsed="1" x14ac:dyDescent="0.3">
      <c r="A65" s="27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SUM(OSRRefD22_12x_0)</f>
        <v>0</v>
      </c>
      <c r="E65" s="1"/>
      <c r="F65" s="5">
        <f t="shared" si="40"/>
        <v>0</v>
      </c>
      <c r="G65" s="1"/>
      <c r="H65" s="1">
        <f>SUM(OSRRefH22_12x_0)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4"/>
      <c r="P65" s="1">
        <f>SUM(OSRRefP22_12x_0)</f>
        <v>0</v>
      </c>
      <c r="Q65" s="1"/>
      <c r="R65" s="5">
        <f t="shared" si="44"/>
        <v>0</v>
      </c>
      <c r="S65" s="1"/>
      <c r="T65" s="1">
        <f>SUM(OSRRefT22_12x_0)</f>
        <v>0</v>
      </c>
      <c r="U65" s="1"/>
      <c r="V65" s="5">
        <f t="shared" si="45"/>
        <v>0</v>
      </c>
      <c r="W65" s="1"/>
      <c r="X65" s="1">
        <f t="shared" si="46"/>
        <v>0</v>
      </c>
      <c r="Y65" s="1"/>
      <c r="Z65" s="5">
        <f t="shared" si="47"/>
        <v>0</v>
      </c>
    </row>
    <row r="66" spans="1:26" s="24" customFormat="1" hidden="1" outlineLevel="2" x14ac:dyDescent="0.3">
      <c r="A66" s="29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/>
      <c r="Q66" s="2"/>
      <c r="R66" s="7">
        <f t="shared" si="44"/>
        <v>0</v>
      </c>
      <c r="S66" s="2"/>
      <c r="T66" s="6">
        <v>0</v>
      </c>
      <c r="U66" s="2"/>
      <c r="V66" s="7">
        <f t="shared" si="45"/>
        <v>0</v>
      </c>
      <c r="W66" s="2"/>
      <c r="X66" s="6">
        <f t="shared" si="46"/>
        <v>0</v>
      </c>
      <c r="Y66" s="2"/>
      <c r="Z66" s="7">
        <f t="shared" si="47"/>
        <v>0</v>
      </c>
    </row>
    <row r="67" spans="1:26" s="28" customFormat="1" outlineLevel="1" collapsed="1" x14ac:dyDescent="0.3">
      <c r="A67" s="27"/>
      <c r="B67" s="14" t="str">
        <f>CONCATENATE("     ","Travel                                            ")</f>
        <v xml:space="preserve">     Travel                                            </v>
      </c>
      <c r="C67" s="14"/>
      <c r="D67" s="1">
        <f>SUM(OSRRefD22_13x_0)</f>
        <v>0</v>
      </c>
      <c r="E67" s="1"/>
      <c r="F67" s="5">
        <f t="shared" si="40"/>
        <v>0</v>
      </c>
      <c r="G67" s="1"/>
      <c r="H67" s="1">
        <f>SUM(OSRRefH22_13x_0)</f>
        <v>0</v>
      </c>
      <c r="I67" s="1"/>
      <c r="J67" s="5">
        <f t="shared" si="41"/>
        <v>0</v>
      </c>
      <c r="K67" s="1"/>
      <c r="L67" s="1">
        <f t="shared" si="42"/>
        <v>0</v>
      </c>
      <c r="M67" s="1"/>
      <c r="N67" s="5">
        <f t="shared" si="43"/>
        <v>0</v>
      </c>
      <c r="O67" s="14"/>
      <c r="P67" s="1">
        <f>SUM(OSRRefP22_13x_0)</f>
        <v>18.59</v>
      </c>
      <c r="Q67" s="1"/>
      <c r="R67" s="5">
        <f t="shared" si="44"/>
        <v>0</v>
      </c>
      <c r="S67" s="1"/>
      <c r="T67" s="1">
        <f>SUM(OSRRefT22_13x_0)</f>
        <v>0</v>
      </c>
      <c r="U67" s="1"/>
      <c r="V67" s="5">
        <f t="shared" si="45"/>
        <v>0</v>
      </c>
      <c r="W67" s="1"/>
      <c r="X67" s="1">
        <f t="shared" si="46"/>
        <v>18.59</v>
      </c>
      <c r="Y67" s="1"/>
      <c r="Z67" s="5">
        <f t="shared" si="47"/>
        <v>0</v>
      </c>
    </row>
    <row r="68" spans="1:26" s="24" customFormat="1" hidden="1" outlineLevel="2" x14ac:dyDescent="0.3">
      <c r="A68" s="29"/>
      <c r="B68" s="11" t="str">
        <f>CONCATENATE("          ", "6292", " - ", "TRAVEL/CONFERENCE")</f>
        <v xml:space="preserve">          6292 - TRAVEL/CONFERENCE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>
        <v>18.59</v>
      </c>
      <c r="Q68" s="2"/>
      <c r="R68" s="7">
        <f t="shared" si="44"/>
        <v>0</v>
      </c>
      <c r="S68" s="2"/>
      <c r="T68" s="6"/>
      <c r="U68" s="2"/>
      <c r="V68" s="7">
        <f t="shared" si="45"/>
        <v>0</v>
      </c>
      <c r="W68" s="2"/>
      <c r="X68" s="6">
        <f t="shared" si="46"/>
        <v>18.59</v>
      </c>
      <c r="Y68" s="2"/>
      <c r="Z68" s="7">
        <f t="shared" si="47"/>
        <v>0</v>
      </c>
    </row>
    <row r="69" spans="1:26" s="28" customFormat="1" outlineLevel="1" collapsed="1" x14ac:dyDescent="0.3">
      <c r="A69" s="27"/>
      <c r="B69" s="14" t="str">
        <f>CONCATENATE("     ","Utilities                                         ")</f>
        <v xml:space="preserve">     Utilities                                         </v>
      </c>
      <c r="C69" s="14"/>
      <c r="D69" s="1">
        <f>SUM(OSRRefD22_14x_0)</f>
        <v>5550</v>
      </c>
      <c r="E69" s="1"/>
      <c r="F69" s="5">
        <f t="shared" si="40"/>
        <v>0</v>
      </c>
      <c r="G69" s="1"/>
      <c r="H69" s="1">
        <f>SUM(OSRRefH22_14x_0)</f>
        <v>5550</v>
      </c>
      <c r="I69" s="1"/>
      <c r="J69" s="5">
        <f t="shared" si="41"/>
        <v>0</v>
      </c>
      <c r="K69" s="1"/>
      <c r="L69" s="1">
        <f t="shared" si="42"/>
        <v>0</v>
      </c>
      <c r="M69" s="1"/>
      <c r="N69" s="5">
        <f t="shared" si="43"/>
        <v>0</v>
      </c>
      <c r="O69" s="14"/>
      <c r="P69" s="1">
        <f>SUM(OSRRefP22_14x_0)</f>
        <v>33300</v>
      </c>
      <c r="Q69" s="1"/>
      <c r="R69" s="5">
        <f t="shared" si="44"/>
        <v>0</v>
      </c>
      <c r="S69" s="1"/>
      <c r="T69" s="1">
        <f>SUM(OSRRefT22_14x_0)</f>
        <v>33300</v>
      </c>
      <c r="U69" s="1"/>
      <c r="V69" s="5">
        <f t="shared" si="45"/>
        <v>0</v>
      </c>
      <c r="W69" s="1"/>
      <c r="X69" s="1">
        <f t="shared" si="46"/>
        <v>0</v>
      </c>
      <c r="Y69" s="1"/>
      <c r="Z69" s="5">
        <f t="shared" si="47"/>
        <v>0</v>
      </c>
    </row>
    <row r="70" spans="1:26" s="24" customFormat="1" hidden="1" outlineLevel="2" x14ac:dyDescent="0.3">
      <c r="A70" s="29"/>
      <c r="B70" s="11" t="str">
        <f>CONCATENATE("          ", "6274", " - ", "UTILITIES")</f>
        <v xml:space="preserve">          6274 - UTILITIES</v>
      </c>
      <c r="C70" s="11"/>
      <c r="D70" s="6">
        <v>5550</v>
      </c>
      <c r="E70" s="2"/>
      <c r="F70" s="7">
        <f t="shared" si="40"/>
        <v>0</v>
      </c>
      <c r="G70" s="2"/>
      <c r="H70" s="6">
        <v>5550</v>
      </c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33300</v>
      </c>
      <c r="Q70" s="2"/>
      <c r="R70" s="7">
        <f t="shared" si="44"/>
        <v>0</v>
      </c>
      <c r="S70" s="2"/>
      <c r="T70" s="6">
        <v>33300</v>
      </c>
      <c r="U70" s="2"/>
      <c r="V70" s="7">
        <f t="shared" si="45"/>
        <v>0</v>
      </c>
      <c r="W70" s="2"/>
      <c r="X70" s="6">
        <f t="shared" si="46"/>
        <v>0</v>
      </c>
      <c r="Y70" s="2"/>
      <c r="Z70" s="7">
        <f t="shared" si="47"/>
        <v>0</v>
      </c>
    </row>
    <row r="71" spans="1:26" s="55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10743.95</v>
      </c>
      <c r="E72" s="4"/>
      <c r="F72" s="12">
        <f t="shared" ref="F72:F73" si="48">IF(D$12=0,0,D72/D$12)</f>
        <v>0</v>
      </c>
      <c r="G72" s="4"/>
      <c r="H72" s="4">
        <f>SUM(OSRRefH25x_0)</f>
        <v>0</v>
      </c>
      <c r="I72" s="4"/>
      <c r="J72" s="12">
        <f t="shared" ref="J72:J73" si="49">IF(H$12=0,0,H72/H$12)</f>
        <v>0</v>
      </c>
      <c r="K72" s="4"/>
      <c r="L72" s="4">
        <f t="shared" ref="L72:L73" si="50">+D72-H72</f>
        <v>10743.95</v>
      </c>
      <c r="M72" s="4"/>
      <c r="N72" s="12">
        <f t="shared" ref="N72:N73" si="51">IF(H72=0,0,L72/H72)</f>
        <v>0</v>
      </c>
      <c r="O72" s="10"/>
      <c r="P72" s="4">
        <f>SUM(OSRRefP25x_0)</f>
        <v>14289.9</v>
      </c>
      <c r="Q72" s="4"/>
      <c r="R72" s="12">
        <f t="shared" ref="R72:R73" si="52">IF(P$12=0,0,P72/P$12)</f>
        <v>0</v>
      </c>
      <c r="S72" s="4"/>
      <c r="T72" s="4">
        <f>SUM(OSRRefT25x_0)</f>
        <v>0</v>
      </c>
      <c r="U72" s="4"/>
      <c r="V72" s="12">
        <f t="shared" ref="V72:V73" si="53">IF(T$12=0,0,T72/T$12)</f>
        <v>0</v>
      </c>
      <c r="W72" s="4"/>
      <c r="X72" s="4">
        <f t="shared" ref="X72:X73" si="54">+P72-T72</f>
        <v>14289.9</v>
      </c>
      <c r="Y72" s="4"/>
      <c r="Z72" s="12">
        <f t="shared" ref="Z72:Z73" si="55">IF(T72=0,0,X72/T72)</f>
        <v>0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--10743.95</f>
        <v>10743.95</v>
      </c>
      <c r="E73" s="2"/>
      <c r="F73" s="19">
        <f t="shared" si="48"/>
        <v>0</v>
      </c>
      <c r="G73" s="2"/>
      <c r="H73" s="2"/>
      <c r="I73" s="2"/>
      <c r="J73" s="19">
        <f t="shared" si="49"/>
        <v>0</v>
      </c>
      <c r="K73" s="2"/>
      <c r="L73" s="2">
        <f t="shared" si="50"/>
        <v>10743.95</v>
      </c>
      <c r="M73" s="2"/>
      <c r="N73" s="19">
        <f t="shared" si="51"/>
        <v>0</v>
      </c>
      <c r="O73" s="11"/>
      <c r="P73" s="2">
        <f>--14289.9</f>
        <v>14289.9</v>
      </c>
      <c r="Q73" s="2"/>
      <c r="R73" s="19">
        <f t="shared" si="52"/>
        <v>0</v>
      </c>
      <c r="S73" s="2"/>
      <c r="T73" s="2"/>
      <c r="U73" s="2"/>
      <c r="V73" s="19">
        <f t="shared" si="53"/>
        <v>0</v>
      </c>
      <c r="W73" s="2"/>
      <c r="X73" s="2">
        <f t="shared" si="54"/>
        <v>14289.9</v>
      </c>
      <c r="Y73" s="2"/>
      <c r="Z73" s="19">
        <f t="shared" si="55"/>
        <v>0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+D16-D18+D72</f>
        <v>-34557.17</v>
      </c>
      <c r="E75" s="13"/>
      <c r="F75" s="22">
        <f>IF(D$12=0,0,D75/D$12)</f>
        <v>0</v>
      </c>
      <c r="G75" s="13"/>
      <c r="H75" s="20">
        <f>+H16-H18+H72</f>
        <v>-42447.132430769241</v>
      </c>
      <c r="I75" s="13"/>
      <c r="J75" s="22">
        <f>IF(H$12=0,0,H75/H$12)</f>
        <v>0</v>
      </c>
      <c r="K75" s="16"/>
      <c r="L75" s="20">
        <f>+D75-H75</f>
        <v>7889.9624307692429</v>
      </c>
      <c r="M75" s="16"/>
      <c r="N75" s="22">
        <f>IF(H75=0,0,L75/H75)</f>
        <v>-0.18587739569069067</v>
      </c>
      <c r="O75" s="25"/>
      <c r="P75" s="20">
        <f>+P16-P18+P72</f>
        <v>-280895.78000000003</v>
      </c>
      <c r="Q75" s="13"/>
      <c r="R75" s="22">
        <f>IF(P$12=0,0,P75/P$12)</f>
        <v>0</v>
      </c>
      <c r="S75" s="13"/>
      <c r="T75" s="20">
        <f>+T16-T18+T72</f>
        <v>-264228.86080000002</v>
      </c>
      <c r="U75" s="13"/>
      <c r="V75" s="22">
        <f>IF(T$12=0,0,T75/T$12)</f>
        <v>0</v>
      </c>
      <c r="W75" s="16"/>
      <c r="X75" s="20">
        <f>+P75-T75</f>
        <v>-16666.919200000004</v>
      </c>
      <c r="Y75" s="16"/>
      <c r="Z75" s="22">
        <f>IF(T75=0,0,X75/T75)</f>
        <v>6.3077587927139869E-2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/>
      <c r="E77" s="4"/>
      <c r="F77" s="12">
        <f>IF(D$12=0,0,D77/D$12)</f>
        <v>0</v>
      </c>
      <c r="G77" s="4"/>
      <c r="H77" s="4"/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/>
      <c r="Q77" s="4"/>
      <c r="R77" s="12">
        <f>IF(P$12=0,0,P77/P$12)</f>
        <v>0</v>
      </c>
      <c r="S77" s="4"/>
      <c r="T77" s="4"/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1">
        <f>+D75-D77</f>
        <v>-34557.17</v>
      </c>
      <c r="E79" s="13"/>
      <c r="F79" s="30">
        <f>IF(D$12=0,0,D79/D$12)</f>
        <v>0</v>
      </c>
      <c r="G79" s="13"/>
      <c r="H79" s="31">
        <f>+H75-H77</f>
        <v>-42447.132430769241</v>
      </c>
      <c r="I79" s="13"/>
      <c r="J79" s="30">
        <f>IF(H$12=0,0,H79/H$12)</f>
        <v>0</v>
      </c>
      <c r="K79" s="16"/>
      <c r="L79" s="31">
        <f>D79-H79</f>
        <v>7889.9624307692429</v>
      </c>
      <c r="M79" s="16"/>
      <c r="N79" s="30">
        <f>IF(H79=0,0,L79/H79)</f>
        <v>-0.18587739569069067</v>
      </c>
      <c r="O79" s="25"/>
      <c r="P79" s="31">
        <f>+P75-P77</f>
        <v>-280895.78000000003</v>
      </c>
      <c r="Q79" s="13"/>
      <c r="R79" s="30">
        <f>IF(P$12=0,0,P79/P$12)</f>
        <v>0</v>
      </c>
      <c r="S79" s="13"/>
      <c r="T79" s="31">
        <f>+T75-T77</f>
        <v>-264228.86080000002</v>
      </c>
      <c r="U79" s="13"/>
      <c r="V79" s="30">
        <f>IF(T$12=0,0,T79/T$12)</f>
        <v>0</v>
      </c>
      <c r="W79" s="16"/>
      <c r="X79" s="31">
        <f>P79-T79</f>
        <v>-16666.919200000004</v>
      </c>
      <c r="Y79" s="16"/>
      <c r="Z79" s="30">
        <f>IF(T79=0,0,X79/T79)</f>
        <v>6.3077587927139869E-2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-34557.17</v>
      </c>
      <c r="E82" s="13"/>
      <c r="F82" s="34">
        <f>IF(D$12=0,0,D82/D$12)</f>
        <v>0</v>
      </c>
      <c r="G82" s="13"/>
      <c r="H82" s="35">
        <f>SUM(H79:H81)</f>
        <v>-42447.132430769241</v>
      </c>
      <c r="I82" s="13"/>
      <c r="J82" s="34">
        <f>IF(H$12=0,0,H82/H$12)</f>
        <v>0</v>
      </c>
      <c r="K82" s="16"/>
      <c r="L82" s="35">
        <f>+D82-H82</f>
        <v>7889.9624307692429</v>
      </c>
      <c r="M82" s="16"/>
      <c r="N82" s="34">
        <f>IF(H82=0,0,L82/H82)</f>
        <v>-0.18587739569069067</v>
      </c>
      <c r="O82" s="25"/>
      <c r="P82" s="35">
        <f>SUM(P79:P81)</f>
        <v>-280895.78000000003</v>
      </c>
      <c r="Q82" s="13"/>
      <c r="R82" s="34">
        <f>IF(P$12=0,0,P82/P$12)</f>
        <v>0</v>
      </c>
      <c r="S82" s="13"/>
      <c r="T82" s="35">
        <f>SUM(T79:T81)</f>
        <v>-264228.86080000002</v>
      </c>
      <c r="U82" s="13"/>
      <c r="V82" s="34">
        <f>IF(T$12=0,0,T82/T$12)</f>
        <v>0</v>
      </c>
      <c r="W82" s="16"/>
      <c r="X82" s="35">
        <f>+P82-T82</f>
        <v>-16666.919200000004</v>
      </c>
      <c r="Y82" s="16"/>
      <c r="Z82" s="34">
        <f>IF(T82=0,0,X82/T82)</f>
        <v>6.3077587927139869E-2</v>
      </c>
    </row>
    <row r="83" spans="1:26" ht="15" thickTop="1" x14ac:dyDescent="0.3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3">
      <c r="A84" s="9"/>
      <c r="B84" s="61">
        <v>44575.842125659721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3">
      <c r="A85" s="9"/>
      <c r="B85" s="62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53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","412", " - ", "Chartroom")</f>
        <v>Department 412 - Chartroom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640.63</v>
      </c>
      <c r="E18" s="21"/>
      <c r="F18" s="32">
        <f t="shared" ref="F18:F26" si="0">IF(D$12=0,0,D18/D$12)</f>
        <v>0</v>
      </c>
      <c r="G18" s="21"/>
      <c r="H18" s="21">
        <f>SUM(OSRRefH22x_0)</f>
        <v>577</v>
      </c>
      <c r="I18" s="21"/>
      <c r="J18" s="32">
        <f t="shared" ref="J18:J26" si="1">IF(H$12=0,0,H18/H$12)</f>
        <v>0</v>
      </c>
      <c r="K18" s="4"/>
      <c r="L18" s="21">
        <f t="shared" ref="L18:L26" si="2">+D18-H18</f>
        <v>63.629999999999995</v>
      </c>
      <c r="M18" s="4"/>
      <c r="N18" s="32">
        <f t="shared" ref="N18:N26" si="3">IF(H18=0,0,L18/H18)</f>
        <v>0.11027729636048526</v>
      </c>
      <c r="O18" s="10"/>
      <c r="P18" s="21">
        <f>SUM(OSRRefP22x_0)</f>
        <v>3723.4599999999996</v>
      </c>
      <c r="Q18" s="21"/>
      <c r="R18" s="32">
        <f t="shared" ref="R18:R26" si="4">IF(P$12=0,0,P18/P$12)</f>
        <v>0</v>
      </c>
      <c r="S18" s="21"/>
      <c r="T18" s="21">
        <f>SUM(OSRRefT22x_0)</f>
        <v>3462</v>
      </c>
      <c r="U18" s="21"/>
      <c r="V18" s="32">
        <f t="shared" ref="V18:V26" si="5">IF(T$12=0,0,T18/T$12)</f>
        <v>0</v>
      </c>
      <c r="W18" s="4"/>
      <c r="X18" s="21">
        <f t="shared" ref="X18:X26" si="6">+P18-T18</f>
        <v>261.45999999999958</v>
      </c>
      <c r="Y18" s="4"/>
      <c r="Z18" s="32">
        <f t="shared" ref="Z18:Z26" si="7">IF(T18=0,0,X18/T18)</f>
        <v>7.5522819179664816E-2</v>
      </c>
    </row>
    <row r="19" spans="1:26" s="28" customFormat="1" outlineLevel="1" collapsed="1" x14ac:dyDescent="0.3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</v>
      </c>
      <c r="I19" s="1"/>
      <c r="J19" s="5">
        <f t="shared" si="1"/>
        <v>0</v>
      </c>
      <c r="K19" s="1"/>
      <c r="L19" s="1">
        <f t="shared" si="2"/>
        <v>0.36000000000001364</v>
      </c>
      <c r="M19" s="1"/>
      <c r="N19" s="5">
        <f t="shared" si="3"/>
        <v>6.2391681109187809E-4</v>
      </c>
      <c r="O19" s="14"/>
      <c r="P19" s="1">
        <f>SUM(OSRRefP22_0x_0)</f>
        <v>3464.16</v>
      </c>
      <c r="Q19" s="1"/>
      <c r="R19" s="5">
        <f t="shared" si="4"/>
        <v>0</v>
      </c>
      <c r="S19" s="1"/>
      <c r="T19" s="1">
        <f>SUM(OSRRefT22_0x_0)</f>
        <v>3462</v>
      </c>
      <c r="U19" s="1"/>
      <c r="V19" s="5">
        <f t="shared" si="5"/>
        <v>0</v>
      </c>
      <c r="W19" s="1"/>
      <c r="X19" s="1">
        <f t="shared" si="6"/>
        <v>2.1599999999998545</v>
      </c>
      <c r="Y19" s="1"/>
      <c r="Z19" s="5">
        <f t="shared" si="7"/>
        <v>6.2391681109181239E-4</v>
      </c>
    </row>
    <row r="20" spans="1:26" s="24" customFormat="1" hidden="1" outlineLevel="2" x14ac:dyDescent="0.3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577.36</v>
      </c>
      <c r="E20" s="2"/>
      <c r="F20" s="7">
        <f t="shared" si="0"/>
        <v>0</v>
      </c>
      <c r="G20" s="2"/>
      <c r="H20" s="6">
        <v>577</v>
      </c>
      <c r="I20" s="2"/>
      <c r="J20" s="7">
        <f t="shared" si="1"/>
        <v>0</v>
      </c>
      <c r="K20" s="2"/>
      <c r="L20" s="6">
        <f t="shared" si="2"/>
        <v>0.36000000000001364</v>
      </c>
      <c r="M20" s="2"/>
      <c r="N20" s="7">
        <f t="shared" si="3"/>
        <v>6.2391681109187809E-4</v>
      </c>
      <c r="O20" s="11"/>
      <c r="P20" s="6">
        <v>3464.16</v>
      </c>
      <c r="Q20" s="2"/>
      <c r="R20" s="7">
        <f t="shared" si="4"/>
        <v>0</v>
      </c>
      <c r="S20" s="2"/>
      <c r="T20" s="6">
        <v>3462</v>
      </c>
      <c r="U20" s="2"/>
      <c r="V20" s="7">
        <f t="shared" si="5"/>
        <v>0</v>
      </c>
      <c r="W20" s="2"/>
      <c r="X20" s="6">
        <f t="shared" si="6"/>
        <v>2.1599999999998545</v>
      </c>
      <c r="Y20" s="2"/>
      <c r="Z20" s="7">
        <f t="shared" si="7"/>
        <v>6.2391681109181239E-4</v>
      </c>
    </row>
    <row r="21" spans="1:26" s="28" customFormat="1" outlineLevel="1" collapsed="1" x14ac:dyDescent="0.3">
      <c r="A21" s="27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63.27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63.27</v>
      </c>
      <c r="M21" s="1"/>
      <c r="N21" s="5">
        <f t="shared" si="3"/>
        <v>0</v>
      </c>
      <c r="O21" s="14"/>
      <c r="P21" s="1">
        <f>SUM(OSRRefP22_1x_0)</f>
        <v>123.7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123.7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"6373", " - ", "MAINTENANCE CONTRACTS")</f>
        <v xml:space="preserve">          6373 - MAINTENANCE CONTRACTS</v>
      </c>
      <c r="C22" s="11"/>
      <c r="D22" s="6">
        <v>63.27</v>
      </c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63.27</v>
      </c>
      <c r="M22" s="2"/>
      <c r="N22" s="7">
        <f t="shared" si="3"/>
        <v>0</v>
      </c>
      <c r="O22" s="11"/>
      <c r="P22" s="6">
        <v>123.7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123.7</v>
      </c>
      <c r="Y22" s="2"/>
      <c r="Z22" s="7">
        <f t="shared" si="7"/>
        <v>0</v>
      </c>
    </row>
    <row r="23" spans="1:26" s="28" customFormat="1" outlineLevel="1" collapsed="1" x14ac:dyDescent="0.3">
      <c r="A23" s="27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9"/>
      <c r="B24" s="11" t="str">
        <f>CONCATENATE("          ", "6284", " - ", "TRASH REMOVAL EXPENSE")</f>
        <v xml:space="preserve">          6284 - TRASH REMOVAL EXPENSE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8" customFormat="1" outlineLevel="1" collapsed="1" x14ac:dyDescent="0.3">
      <c r="A25" s="27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135.6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135.6</v>
      </c>
      <c r="Y25" s="1"/>
      <c r="Z25" s="5">
        <f t="shared" si="7"/>
        <v>0</v>
      </c>
    </row>
    <row r="26" spans="1:26" s="24" customFormat="1" hidden="1" outlineLevel="2" x14ac:dyDescent="0.3">
      <c r="A26" s="29"/>
      <c r="B26" s="11" t="str">
        <f>CONCATENATE("          ", "6309", " - ", "TELEPHONE")</f>
        <v xml:space="preserve">          6309 - TELEPHONE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135.6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135.6</v>
      </c>
      <c r="Y26" s="2"/>
      <c r="Z26" s="7">
        <f t="shared" si="7"/>
        <v>0</v>
      </c>
    </row>
    <row r="27" spans="1:26" s="55" customFormat="1" x14ac:dyDescent="0.3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5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277</v>
      </c>
      <c r="C30" s="26"/>
      <c r="D30" s="20">
        <f>+D16-D18+D28</f>
        <v>-640.63</v>
      </c>
      <c r="E30" s="13"/>
      <c r="F30" s="22">
        <f>IF(D$12=0,0,D30/D$12)</f>
        <v>0</v>
      </c>
      <c r="G30" s="13"/>
      <c r="H30" s="20">
        <f>+H16-H18+H28</f>
        <v>-577</v>
      </c>
      <c r="I30" s="13"/>
      <c r="J30" s="22">
        <f>IF(H$12=0,0,H30/H$12)</f>
        <v>0</v>
      </c>
      <c r="K30" s="16"/>
      <c r="L30" s="20">
        <f>+D30-H30</f>
        <v>-63.629999999999995</v>
      </c>
      <c r="M30" s="16"/>
      <c r="N30" s="22">
        <f>IF(H30=0,0,L30/H30)</f>
        <v>0.11027729636048526</v>
      </c>
      <c r="O30" s="25"/>
      <c r="P30" s="20">
        <f>+P16-P18+P28</f>
        <v>-3723.4599999999996</v>
      </c>
      <c r="Q30" s="13"/>
      <c r="R30" s="22">
        <f>IF(P$12=0,0,P30/P$12)</f>
        <v>0</v>
      </c>
      <c r="S30" s="13"/>
      <c r="T30" s="20">
        <f>+T16-T18+T28</f>
        <v>-3462</v>
      </c>
      <c r="U30" s="13"/>
      <c r="V30" s="22">
        <f>IF(T$12=0,0,T30/T$12)</f>
        <v>0</v>
      </c>
      <c r="W30" s="16"/>
      <c r="X30" s="20">
        <f>+P30-T30</f>
        <v>-261.45999999999958</v>
      </c>
      <c r="Y30" s="16"/>
      <c r="Z30" s="22">
        <f>IF(T30=0,0,X30/T30)</f>
        <v>7.5522819179664816E-2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2"/>
      <c r="B32" s="10" t="s">
        <v>128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6" t="s">
        <v>126</v>
      </c>
      <c r="C34" s="26"/>
      <c r="D34" s="31">
        <f>+D30-D32</f>
        <v>-640.63</v>
      </c>
      <c r="E34" s="13"/>
      <c r="F34" s="30">
        <f>IF(D$12=0,0,D34/D$12)</f>
        <v>0</v>
      </c>
      <c r="G34" s="13"/>
      <c r="H34" s="31">
        <f>+H30-H32</f>
        <v>-577</v>
      </c>
      <c r="I34" s="13"/>
      <c r="J34" s="30">
        <f>IF(H$12=0,0,H34/H$12)</f>
        <v>0</v>
      </c>
      <c r="K34" s="16"/>
      <c r="L34" s="31">
        <f>D34-H34</f>
        <v>-63.629999999999995</v>
      </c>
      <c r="M34" s="16"/>
      <c r="N34" s="30">
        <f>IF(H34=0,0,L34/H34)</f>
        <v>0.11027729636048526</v>
      </c>
      <c r="O34" s="25"/>
      <c r="P34" s="31">
        <f>+P30-P32</f>
        <v>-3723.4599999999996</v>
      </c>
      <c r="Q34" s="13"/>
      <c r="R34" s="30">
        <f>IF(P$12=0,0,P34/P$12)</f>
        <v>0</v>
      </c>
      <c r="S34" s="13"/>
      <c r="T34" s="31">
        <f>+T30-T32</f>
        <v>-3462</v>
      </c>
      <c r="U34" s="13"/>
      <c r="V34" s="30">
        <f>IF(T$12=0,0,T34/T$12)</f>
        <v>0</v>
      </c>
      <c r="W34" s="16"/>
      <c r="X34" s="31">
        <f>P34-T34</f>
        <v>-261.45999999999958</v>
      </c>
      <c r="Y34" s="16"/>
      <c r="Z34" s="30">
        <f>IF(T34=0,0,X34/T34)</f>
        <v>7.5522819179664816E-2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6" t="s">
        <v>294</v>
      </c>
      <c r="C37" s="26"/>
      <c r="D37" s="35">
        <f>SUM(D34:D36)</f>
        <v>-640.63</v>
      </c>
      <c r="E37" s="13"/>
      <c r="F37" s="34">
        <f>IF(D$12=0,0,D37/D$12)</f>
        <v>0</v>
      </c>
      <c r="G37" s="13"/>
      <c r="H37" s="35">
        <f>SUM(H34:H36)</f>
        <v>-577</v>
      </c>
      <c r="I37" s="13"/>
      <c r="J37" s="34">
        <f>IF(H$12=0,0,H37/H$12)</f>
        <v>0</v>
      </c>
      <c r="K37" s="16"/>
      <c r="L37" s="35">
        <f>+D37-H37</f>
        <v>-63.629999999999995</v>
      </c>
      <c r="M37" s="16"/>
      <c r="N37" s="34">
        <f>IF(H37=0,0,L37/H37)</f>
        <v>0.11027729636048526</v>
      </c>
      <c r="O37" s="25"/>
      <c r="P37" s="35">
        <f>SUM(P34:P36)</f>
        <v>-3723.4599999999996</v>
      </c>
      <c r="Q37" s="13"/>
      <c r="R37" s="34">
        <f>IF(P$12=0,0,P37/P$12)</f>
        <v>0</v>
      </c>
      <c r="S37" s="13"/>
      <c r="T37" s="35">
        <f>SUM(T34:T36)</f>
        <v>-3462</v>
      </c>
      <c r="U37" s="13"/>
      <c r="V37" s="34">
        <f>IF(T$12=0,0,T37/T$12)</f>
        <v>0</v>
      </c>
      <c r="W37" s="16"/>
      <c r="X37" s="35">
        <f>+P37-T37</f>
        <v>-261.45999999999958</v>
      </c>
      <c r="Y37" s="16"/>
      <c r="Z37" s="34">
        <f>IF(T37=0,0,X37/T37)</f>
        <v>7.5522819179664816E-2</v>
      </c>
    </row>
    <row r="38" spans="1:26" ht="15" thickTop="1" x14ac:dyDescent="0.3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1">
        <v>44575.842125659721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2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A41" s="9"/>
      <c r="B41" s="53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","413", " - ", "Beach Walk")</f>
        <v>Department 413 - Beach Walk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157.88999999999999</v>
      </c>
      <c r="E18" s="21"/>
      <c r="F18" s="32">
        <f t="shared" ref="F18:F24" si="0">IF(D$12=0,0,D18/D$12)</f>
        <v>0</v>
      </c>
      <c r="G18" s="21"/>
      <c r="H18" s="21">
        <f>SUM(OSRRefH22x_0)</f>
        <v>58</v>
      </c>
      <c r="I18" s="21"/>
      <c r="J18" s="32">
        <f t="shared" ref="J18:J24" si="1">IF(H$12=0,0,H18/H$12)</f>
        <v>0</v>
      </c>
      <c r="K18" s="4"/>
      <c r="L18" s="21">
        <f t="shared" ref="L18:L24" si="2">+D18-H18</f>
        <v>99.889999999999986</v>
      </c>
      <c r="M18" s="4"/>
      <c r="N18" s="32">
        <f t="shared" ref="N18:N24" si="3">IF(H18=0,0,L18/H18)</f>
        <v>1.7222413793103446</v>
      </c>
      <c r="O18" s="10"/>
      <c r="P18" s="21">
        <f>SUM(OSRRefP22x_0)</f>
        <v>613.13</v>
      </c>
      <c r="Q18" s="21"/>
      <c r="R18" s="32">
        <f t="shared" ref="R18:R24" si="4">IF(P$12=0,0,P18/P$12)</f>
        <v>0</v>
      </c>
      <c r="S18" s="21"/>
      <c r="T18" s="21">
        <f>SUM(OSRRefT22x_0)</f>
        <v>348</v>
      </c>
      <c r="U18" s="21"/>
      <c r="V18" s="32">
        <f t="shared" ref="V18:V24" si="5">IF(T$12=0,0,T18/T$12)</f>
        <v>0</v>
      </c>
      <c r="W18" s="4"/>
      <c r="X18" s="21">
        <f t="shared" ref="X18:X24" si="6">+P18-T18</f>
        <v>265.13</v>
      </c>
      <c r="Y18" s="4"/>
      <c r="Z18" s="32">
        <f t="shared" ref="Z18:Z24" si="7">IF(T18=0,0,X18/T18)</f>
        <v>0.76186781609195398</v>
      </c>
    </row>
    <row r="19" spans="1:26" s="28" customFormat="1" outlineLevel="1" collapsed="1" x14ac:dyDescent="0.3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58.03</v>
      </c>
      <c r="E19" s="1"/>
      <c r="F19" s="5">
        <f t="shared" si="0"/>
        <v>0</v>
      </c>
      <c r="G19" s="1"/>
      <c r="H19" s="1">
        <f>SUM(OSRRefH22_0x_0)</f>
        <v>58</v>
      </c>
      <c r="I19" s="1"/>
      <c r="J19" s="5">
        <f t="shared" si="1"/>
        <v>0</v>
      </c>
      <c r="K19" s="1"/>
      <c r="L19" s="1">
        <f t="shared" si="2"/>
        <v>3.0000000000001137E-2</v>
      </c>
      <c r="M19" s="1"/>
      <c r="N19" s="5">
        <f t="shared" si="3"/>
        <v>5.1724137931036447E-4</v>
      </c>
      <c r="O19" s="14"/>
      <c r="P19" s="1">
        <f>SUM(OSRRefP22_0x_0)</f>
        <v>348.18</v>
      </c>
      <c r="Q19" s="1"/>
      <c r="R19" s="5">
        <f t="shared" si="4"/>
        <v>0</v>
      </c>
      <c r="S19" s="1"/>
      <c r="T19" s="1">
        <f>SUM(OSRRefT22_0x_0)</f>
        <v>348</v>
      </c>
      <c r="U19" s="1"/>
      <c r="V19" s="5">
        <f t="shared" si="5"/>
        <v>0</v>
      </c>
      <c r="W19" s="1"/>
      <c r="X19" s="1">
        <f t="shared" si="6"/>
        <v>0.18000000000000682</v>
      </c>
      <c r="Y19" s="1"/>
      <c r="Z19" s="5">
        <f t="shared" si="7"/>
        <v>5.1724137931036447E-4</v>
      </c>
    </row>
    <row r="20" spans="1:26" s="24" customFormat="1" hidden="1" outlineLevel="2" x14ac:dyDescent="0.3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58.03</v>
      </c>
      <c r="E20" s="2"/>
      <c r="F20" s="7">
        <f t="shared" si="0"/>
        <v>0</v>
      </c>
      <c r="G20" s="2"/>
      <c r="H20" s="6">
        <v>58</v>
      </c>
      <c r="I20" s="2"/>
      <c r="J20" s="7">
        <f t="shared" si="1"/>
        <v>0</v>
      </c>
      <c r="K20" s="2"/>
      <c r="L20" s="6">
        <f t="shared" si="2"/>
        <v>3.0000000000001137E-2</v>
      </c>
      <c r="M20" s="2"/>
      <c r="N20" s="7">
        <f t="shared" si="3"/>
        <v>5.1724137931036447E-4</v>
      </c>
      <c r="O20" s="11"/>
      <c r="P20" s="6">
        <v>348.18</v>
      </c>
      <c r="Q20" s="2"/>
      <c r="R20" s="7">
        <f t="shared" si="4"/>
        <v>0</v>
      </c>
      <c r="S20" s="2"/>
      <c r="T20" s="6">
        <v>348</v>
      </c>
      <c r="U20" s="2"/>
      <c r="V20" s="7">
        <f t="shared" si="5"/>
        <v>0</v>
      </c>
      <c r="W20" s="2"/>
      <c r="X20" s="6">
        <f t="shared" si="6"/>
        <v>0.18000000000000682</v>
      </c>
      <c r="Y20" s="2"/>
      <c r="Z20" s="7">
        <f t="shared" si="7"/>
        <v>5.1724137931036447E-4</v>
      </c>
    </row>
    <row r="21" spans="1:26" s="28" customFormat="1" outlineLevel="1" collapsed="1" x14ac:dyDescent="0.3">
      <c r="A21" s="27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99.86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99.86</v>
      </c>
      <c r="M21" s="1"/>
      <c r="N21" s="5">
        <f t="shared" si="3"/>
        <v>0</v>
      </c>
      <c r="O21" s="14"/>
      <c r="P21" s="1">
        <f>SUM(OSRRefP22_1x_0)</f>
        <v>264.95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264.95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"6373", " - ", "MAINTENANCE CONTRACTS")</f>
        <v xml:space="preserve">          6373 - MAINTENANCE CONTRACTS</v>
      </c>
      <c r="C22" s="11"/>
      <c r="D22" s="6">
        <v>99.86</v>
      </c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99.86</v>
      </c>
      <c r="M22" s="2"/>
      <c r="N22" s="7">
        <f t="shared" si="3"/>
        <v>0</v>
      </c>
      <c r="O22" s="11"/>
      <c r="P22" s="6">
        <v>264.95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264.95</v>
      </c>
      <c r="Y22" s="2"/>
      <c r="Z22" s="7">
        <f t="shared" si="7"/>
        <v>0</v>
      </c>
    </row>
    <row r="23" spans="1:26" s="28" customFormat="1" outlineLevel="1" collapsed="1" x14ac:dyDescent="0.3">
      <c r="A23" s="27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9"/>
      <c r="B24" s="11" t="str">
        <f>CONCATENATE("          ", "6284", " - ", "TRASH REMOVAL EXPENSE")</f>
        <v xml:space="preserve">          6284 - TRASH REMOVAL EXPENSE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55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0">
        <f>+D16-D18+D26</f>
        <v>-157.88999999999999</v>
      </c>
      <c r="E28" s="13"/>
      <c r="F28" s="22">
        <f>IF(D$12=0,0,D28/D$12)</f>
        <v>0</v>
      </c>
      <c r="G28" s="13"/>
      <c r="H28" s="20">
        <f>+H16-H18+H26</f>
        <v>-58</v>
      </c>
      <c r="I28" s="13"/>
      <c r="J28" s="22">
        <f>IF(H$12=0,0,H28/H$12)</f>
        <v>0</v>
      </c>
      <c r="K28" s="16"/>
      <c r="L28" s="20">
        <f>+D28-H28</f>
        <v>-99.889999999999986</v>
      </c>
      <c r="M28" s="16"/>
      <c r="N28" s="22">
        <f>IF(H28=0,0,L28/H28)</f>
        <v>1.7222413793103446</v>
      </c>
      <c r="O28" s="25"/>
      <c r="P28" s="20">
        <f>+P16-P18+P26</f>
        <v>-613.13</v>
      </c>
      <c r="Q28" s="13"/>
      <c r="R28" s="22">
        <f>IF(P$12=0,0,P28/P$12)</f>
        <v>0</v>
      </c>
      <c r="S28" s="13"/>
      <c r="T28" s="20">
        <f>+T16-T18+T26</f>
        <v>-348</v>
      </c>
      <c r="U28" s="13"/>
      <c r="V28" s="22">
        <f>IF(T$12=0,0,T28/T$12)</f>
        <v>0</v>
      </c>
      <c r="W28" s="16"/>
      <c r="X28" s="20">
        <f>+P28-T28</f>
        <v>-265.13</v>
      </c>
      <c r="Y28" s="16"/>
      <c r="Z28" s="22">
        <f>IF(T28=0,0,X28/T28)</f>
        <v>0.76186781609195398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1">
        <f>+D28-D30</f>
        <v>-157.88999999999999</v>
      </c>
      <c r="E32" s="13"/>
      <c r="F32" s="30">
        <f>IF(D$12=0,0,D32/D$12)</f>
        <v>0</v>
      </c>
      <c r="G32" s="13"/>
      <c r="H32" s="31">
        <f>+H28-H30</f>
        <v>-58</v>
      </c>
      <c r="I32" s="13"/>
      <c r="J32" s="30">
        <f>IF(H$12=0,0,H32/H$12)</f>
        <v>0</v>
      </c>
      <c r="K32" s="16"/>
      <c r="L32" s="31">
        <f>D32-H32</f>
        <v>-99.889999999999986</v>
      </c>
      <c r="M32" s="16"/>
      <c r="N32" s="30">
        <f>IF(H32=0,0,L32/H32)</f>
        <v>1.7222413793103446</v>
      </c>
      <c r="O32" s="25"/>
      <c r="P32" s="31">
        <f>+P28-P30</f>
        <v>-613.13</v>
      </c>
      <c r="Q32" s="13"/>
      <c r="R32" s="30">
        <f>IF(P$12=0,0,P32/P$12)</f>
        <v>0</v>
      </c>
      <c r="S32" s="13"/>
      <c r="T32" s="31">
        <f>+T28-T30</f>
        <v>-348</v>
      </c>
      <c r="U32" s="13"/>
      <c r="V32" s="30">
        <f>IF(T$12=0,0,T32/T$12)</f>
        <v>0</v>
      </c>
      <c r="W32" s="16"/>
      <c r="X32" s="31">
        <f>P32-T32</f>
        <v>-265.13</v>
      </c>
      <c r="Y32" s="16"/>
      <c r="Z32" s="30">
        <f>IF(T32=0,0,X32/T32)</f>
        <v>0.76186781609195398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5">
        <f>SUM(D32:D34)</f>
        <v>-157.88999999999999</v>
      </c>
      <c r="E35" s="13"/>
      <c r="F35" s="34">
        <f>IF(D$12=0,0,D35/D$12)</f>
        <v>0</v>
      </c>
      <c r="G35" s="13"/>
      <c r="H35" s="35">
        <f>SUM(H32:H34)</f>
        <v>-58</v>
      </c>
      <c r="I35" s="13"/>
      <c r="J35" s="34">
        <f>IF(H$12=0,0,H35/H$12)</f>
        <v>0</v>
      </c>
      <c r="K35" s="16"/>
      <c r="L35" s="35">
        <f>+D35-H35</f>
        <v>-99.889999999999986</v>
      </c>
      <c r="M35" s="16"/>
      <c r="N35" s="34">
        <f>IF(H35=0,0,L35/H35)</f>
        <v>1.7222413793103446</v>
      </c>
      <c r="O35" s="25"/>
      <c r="P35" s="35">
        <f>SUM(P32:P34)</f>
        <v>-613.13</v>
      </c>
      <c r="Q35" s="13"/>
      <c r="R35" s="34">
        <f>IF(P$12=0,0,P35/P$12)</f>
        <v>0</v>
      </c>
      <c r="S35" s="13"/>
      <c r="T35" s="35">
        <f>SUM(T32:T34)</f>
        <v>-348</v>
      </c>
      <c r="U35" s="13"/>
      <c r="V35" s="34">
        <f>IF(T$12=0,0,T35/T$12)</f>
        <v>0</v>
      </c>
      <c r="W35" s="16"/>
      <c r="X35" s="35">
        <f>+P35-T35</f>
        <v>-265.13</v>
      </c>
      <c r="Y35" s="16"/>
      <c r="Z35" s="34">
        <f>IF(T35=0,0,X35/T35)</f>
        <v>0.76186781609195398</v>
      </c>
    </row>
    <row r="36" spans="1:26" ht="15" thickTop="1" x14ac:dyDescent="0.3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61">
        <v>44575.842125659721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2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3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","414", " - ", "Starbucks UDP")</f>
        <v>Department 414 - Starbucks UDP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62.41</v>
      </c>
      <c r="E18" s="21"/>
      <c r="F18" s="32">
        <f t="shared" ref="F18:F24" si="0">IF(D$12=0,0,D18/D$12)</f>
        <v>0</v>
      </c>
      <c r="G18" s="21"/>
      <c r="H18" s="21">
        <f>SUM(OSRRefH22x_0)</f>
        <v>0</v>
      </c>
      <c r="I18" s="21"/>
      <c r="J18" s="32">
        <f t="shared" ref="J18:J24" si="1">IF(H$12=0,0,H18/H$12)</f>
        <v>0</v>
      </c>
      <c r="K18" s="4"/>
      <c r="L18" s="21">
        <f t="shared" ref="L18:L24" si="2">+D18-H18</f>
        <v>62.41</v>
      </c>
      <c r="M18" s="4"/>
      <c r="N18" s="32">
        <f t="shared" ref="N18:N24" si="3">IF(H18=0,0,L18/H18)</f>
        <v>0</v>
      </c>
      <c r="O18" s="10"/>
      <c r="P18" s="21">
        <f>SUM(OSRRefP22x_0)</f>
        <v>310.49</v>
      </c>
      <c r="Q18" s="21"/>
      <c r="R18" s="32">
        <f t="shared" ref="R18:R24" si="4">IF(P$12=0,0,P18/P$12)</f>
        <v>0</v>
      </c>
      <c r="S18" s="21"/>
      <c r="T18" s="21">
        <f>SUM(OSRRefT22x_0)</f>
        <v>0</v>
      </c>
      <c r="U18" s="21"/>
      <c r="V18" s="32">
        <f t="shared" ref="V18:V24" si="5">IF(T$12=0,0,T18/T$12)</f>
        <v>0</v>
      </c>
      <c r="W18" s="4"/>
      <c r="X18" s="21">
        <f t="shared" ref="X18:X24" si="6">+P18-T18</f>
        <v>310.49</v>
      </c>
      <c r="Y18" s="4"/>
      <c r="Z18" s="32">
        <f t="shared" ref="Z18:Z24" si="7">IF(T18=0,0,X18/T18)</f>
        <v>0</v>
      </c>
    </row>
    <row r="19" spans="1:26" s="28" customFormat="1" outlineLevel="1" collapsed="1" x14ac:dyDescent="0.3">
      <c r="A19" s="27"/>
      <c r="B19" s="14" t="str">
        <f>CONCATENATE("     ","Equipment Rental                                  ")</f>
        <v xml:space="preserve">     Equipment Rental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118.91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118.91</v>
      </c>
      <c r="Y19" s="1"/>
      <c r="Z19" s="5">
        <f t="shared" si="7"/>
        <v>0</v>
      </c>
    </row>
    <row r="20" spans="1:26" s="24" customFormat="1" hidden="1" outlineLevel="2" x14ac:dyDescent="0.3">
      <c r="A20" s="29"/>
      <c r="B20" s="11" t="str">
        <f>CONCATENATE("          ", "6351", " - ", "EQUIPMENT RENTAL")</f>
        <v xml:space="preserve">          6351 - EQUIPMENT RENTAL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118.91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118.91</v>
      </c>
      <c r="Y20" s="2"/>
      <c r="Z20" s="7">
        <f t="shared" si="7"/>
        <v>0</v>
      </c>
    </row>
    <row r="21" spans="1:26" s="28" customFormat="1" outlineLevel="1" collapsed="1" x14ac:dyDescent="0.3">
      <c r="A21" s="27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62.41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62.41</v>
      </c>
      <c r="M21" s="1"/>
      <c r="N21" s="5">
        <f t="shared" si="3"/>
        <v>0</v>
      </c>
      <c r="O21" s="14"/>
      <c r="P21" s="1">
        <f>SUM(OSRRefP22_1x_0)</f>
        <v>191.58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191.58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"6373", " - ", "MAINTENANCE CONTRACTS")</f>
        <v xml:space="preserve">          6373 - MAINTENANCE CONTRACTS</v>
      </c>
      <c r="C22" s="11"/>
      <c r="D22" s="6">
        <v>62.41</v>
      </c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62.41</v>
      </c>
      <c r="M22" s="2"/>
      <c r="N22" s="7">
        <f t="shared" si="3"/>
        <v>0</v>
      </c>
      <c r="O22" s="11"/>
      <c r="P22" s="6">
        <v>191.58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191.58</v>
      </c>
      <c r="Y22" s="2"/>
      <c r="Z22" s="7">
        <f t="shared" si="7"/>
        <v>0</v>
      </c>
    </row>
    <row r="23" spans="1:26" s="28" customFormat="1" outlineLevel="1" collapsed="1" x14ac:dyDescent="0.3">
      <c r="A23" s="27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9"/>
      <c r="B24" s="11" t="str">
        <f>CONCATENATE("          ", "6284", " - ", "TRASH REMOVAL EXPENSE")</f>
        <v xml:space="preserve">          6284 - TRASH REMOVAL EXPENSE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55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0">
        <f>+D16-D18+D26</f>
        <v>-62.41</v>
      </c>
      <c r="E28" s="13"/>
      <c r="F28" s="22">
        <f>IF(D$12=0,0,D28/D$12)</f>
        <v>0</v>
      </c>
      <c r="G28" s="13"/>
      <c r="H28" s="20">
        <f>+H16-H18+H26</f>
        <v>0</v>
      </c>
      <c r="I28" s="13"/>
      <c r="J28" s="22">
        <f>IF(H$12=0,0,H28/H$12)</f>
        <v>0</v>
      </c>
      <c r="K28" s="16"/>
      <c r="L28" s="20">
        <f>+D28-H28</f>
        <v>-62.41</v>
      </c>
      <c r="M28" s="16"/>
      <c r="N28" s="22">
        <f>IF(H28=0,0,L28/H28)</f>
        <v>0</v>
      </c>
      <c r="O28" s="25"/>
      <c r="P28" s="20">
        <f>+P16-P18+P26</f>
        <v>-310.49</v>
      </c>
      <c r="Q28" s="13"/>
      <c r="R28" s="22">
        <f>IF(P$12=0,0,P28/P$12)</f>
        <v>0</v>
      </c>
      <c r="S28" s="13"/>
      <c r="T28" s="20">
        <f>+T16-T18+T26</f>
        <v>0</v>
      </c>
      <c r="U28" s="13"/>
      <c r="V28" s="22">
        <f>IF(T$12=0,0,T28/T$12)</f>
        <v>0</v>
      </c>
      <c r="W28" s="16"/>
      <c r="X28" s="20">
        <f>+P28-T28</f>
        <v>-310.49</v>
      </c>
      <c r="Y28" s="16"/>
      <c r="Z28" s="22">
        <f>IF(T28=0,0,X28/T28)</f>
        <v>0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1">
        <f>+D28-D30</f>
        <v>-62.41</v>
      </c>
      <c r="E32" s="13"/>
      <c r="F32" s="30">
        <f>IF(D$12=0,0,D32/D$12)</f>
        <v>0</v>
      </c>
      <c r="G32" s="13"/>
      <c r="H32" s="31">
        <f>+H28-H30</f>
        <v>0</v>
      </c>
      <c r="I32" s="13"/>
      <c r="J32" s="30">
        <f>IF(H$12=0,0,H32/H$12)</f>
        <v>0</v>
      </c>
      <c r="K32" s="16"/>
      <c r="L32" s="31">
        <f>D32-H32</f>
        <v>-62.41</v>
      </c>
      <c r="M32" s="16"/>
      <c r="N32" s="30">
        <f>IF(H32=0,0,L32/H32)</f>
        <v>0</v>
      </c>
      <c r="O32" s="25"/>
      <c r="P32" s="31">
        <f>+P28-P30</f>
        <v>-310.49</v>
      </c>
      <c r="Q32" s="13"/>
      <c r="R32" s="30">
        <f>IF(P$12=0,0,P32/P$12)</f>
        <v>0</v>
      </c>
      <c r="S32" s="13"/>
      <c r="T32" s="31">
        <f>+T28-T30</f>
        <v>0</v>
      </c>
      <c r="U32" s="13"/>
      <c r="V32" s="30">
        <f>IF(T$12=0,0,T32/T$12)</f>
        <v>0</v>
      </c>
      <c r="W32" s="16"/>
      <c r="X32" s="31">
        <f>P32-T32</f>
        <v>-310.49</v>
      </c>
      <c r="Y32" s="16"/>
      <c r="Z32" s="30">
        <f>IF(T32=0,0,X32/T32)</f>
        <v>0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5">
        <f>SUM(D32:D34)</f>
        <v>-62.41</v>
      </c>
      <c r="E35" s="13"/>
      <c r="F35" s="34">
        <f>IF(D$12=0,0,D35/D$12)</f>
        <v>0</v>
      </c>
      <c r="G35" s="13"/>
      <c r="H35" s="35">
        <f>SUM(H32:H34)</f>
        <v>0</v>
      </c>
      <c r="I35" s="13"/>
      <c r="J35" s="34">
        <f>IF(H$12=0,0,H35/H$12)</f>
        <v>0</v>
      </c>
      <c r="K35" s="16"/>
      <c r="L35" s="35">
        <f>+D35-H35</f>
        <v>-62.41</v>
      </c>
      <c r="M35" s="16"/>
      <c r="N35" s="34">
        <f>IF(H35=0,0,L35/H35)</f>
        <v>0</v>
      </c>
      <c r="O35" s="25"/>
      <c r="P35" s="35">
        <f>SUM(P32:P34)</f>
        <v>-310.49</v>
      </c>
      <c r="Q35" s="13"/>
      <c r="R35" s="34">
        <f>IF(P$12=0,0,P35/P$12)</f>
        <v>0</v>
      </c>
      <c r="S35" s="13"/>
      <c r="T35" s="35">
        <f>SUM(T32:T34)</f>
        <v>0</v>
      </c>
      <c r="U35" s="13"/>
      <c r="V35" s="34">
        <f>IF(T$12=0,0,T35/T$12)</f>
        <v>0</v>
      </c>
      <c r="W35" s="16"/>
      <c r="X35" s="35">
        <f>+P35-T35</f>
        <v>-310.49</v>
      </c>
      <c r="Y35" s="16"/>
      <c r="Z35" s="34">
        <f>IF(T35=0,0,X35/T35)</f>
        <v>0</v>
      </c>
    </row>
    <row r="36" spans="1:26" ht="15" thickTop="1" x14ac:dyDescent="0.3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61">
        <v>44575.842125659721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2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3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","415", " - ", "Outpost")</f>
        <v>Department 415 - Outpost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50708.15</v>
      </c>
      <c r="E12" s="4"/>
      <c r="F12" s="12"/>
      <c r="G12" s="4"/>
      <c r="H12" s="4">
        <f>SUM(OSRRefH13x_0)</f>
        <v>20448</v>
      </c>
      <c r="I12" s="4"/>
      <c r="J12" s="12"/>
      <c r="K12" s="4"/>
      <c r="L12" s="4">
        <f t="shared" ref="L12:L16" si="0">+D12-H12</f>
        <v>30260.15</v>
      </c>
      <c r="M12" s="4"/>
      <c r="N12" s="12">
        <f t="shared" ref="N12:N16" si="1">IF(H12=0,0,L12/H12)</f>
        <v>1.4798586658841941</v>
      </c>
      <c r="O12" s="10"/>
      <c r="P12" s="4">
        <f>SUM(OSRRefP13x_0)</f>
        <v>314668.65999999997</v>
      </c>
      <c r="Q12" s="4"/>
      <c r="R12" s="12"/>
      <c r="S12" s="4"/>
      <c r="T12" s="4">
        <f>SUM(OSRRefT13x_0)</f>
        <v>141480</v>
      </c>
      <c r="U12" s="4"/>
      <c r="V12" s="12"/>
      <c r="W12" s="4"/>
      <c r="X12" s="4">
        <f t="shared" ref="X12:X16" si="2">+P12-T12</f>
        <v>173188.65999999997</v>
      </c>
      <c r="Y12" s="4"/>
      <c r="Z12" s="12">
        <f t="shared" ref="Z12:Z16" si="3">IF(T12=0,0,X12/T12)</f>
        <v>1.2241211478654226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6360</v>
      </c>
      <c r="I13" s="2"/>
      <c r="J13" s="19"/>
      <c r="K13" s="2"/>
      <c r="L13" s="2">
        <f t="shared" si="0"/>
        <v>-6360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44004</v>
      </c>
      <c r="U13" s="2"/>
      <c r="V13" s="19"/>
      <c r="W13" s="2"/>
      <c r="X13" s="2">
        <f t="shared" si="2"/>
        <v>-44004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--16704.78</f>
        <v>16704.78</v>
      </c>
      <c r="E14" s="2"/>
      <c r="F14" s="19"/>
      <c r="G14" s="2"/>
      <c r="H14" s="2"/>
      <c r="I14" s="2"/>
      <c r="J14" s="19"/>
      <c r="K14" s="2"/>
      <c r="L14" s="2">
        <f t="shared" si="0"/>
        <v>16704.78</v>
      </c>
      <c r="M14" s="2"/>
      <c r="N14" s="19">
        <f t="shared" si="1"/>
        <v>0</v>
      </c>
      <c r="O14" s="11"/>
      <c r="P14" s="2">
        <f>--123556.8</f>
        <v>123556.8</v>
      </c>
      <c r="Q14" s="2"/>
      <c r="R14" s="19"/>
      <c r="S14" s="2"/>
      <c r="T14" s="2"/>
      <c r="U14" s="2"/>
      <c r="V14" s="19"/>
      <c r="W14" s="2"/>
      <c r="X14" s="2">
        <f t="shared" si="2"/>
        <v>123556.8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14088</v>
      </c>
      <c r="I15" s="2"/>
      <c r="J15" s="19"/>
      <c r="K15" s="2"/>
      <c r="L15" s="2">
        <f t="shared" si="0"/>
        <v>-14088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97476</v>
      </c>
      <c r="U15" s="2"/>
      <c r="V15" s="19"/>
      <c r="W15" s="2"/>
      <c r="X15" s="2">
        <f t="shared" si="2"/>
        <v>-97476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--34003.37</f>
        <v>34003.370000000003</v>
      </c>
      <c r="E16" s="2"/>
      <c r="F16" s="19"/>
      <c r="G16" s="2"/>
      <c r="H16" s="2"/>
      <c r="I16" s="2"/>
      <c r="J16" s="19"/>
      <c r="K16" s="2"/>
      <c r="L16" s="2">
        <f t="shared" si="0"/>
        <v>34003.370000000003</v>
      </c>
      <c r="M16" s="2"/>
      <c r="N16" s="19">
        <f t="shared" si="1"/>
        <v>0</v>
      </c>
      <c r="O16" s="11"/>
      <c r="P16" s="2">
        <f>--191111.86</f>
        <v>191111.86</v>
      </c>
      <c r="Q16" s="2"/>
      <c r="R16" s="19"/>
      <c r="S16" s="2"/>
      <c r="T16" s="2"/>
      <c r="U16" s="2"/>
      <c r="V16" s="19"/>
      <c r="W16" s="2"/>
      <c r="X16" s="2">
        <f t="shared" si="2"/>
        <v>191111.86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19341.5</v>
      </c>
      <c r="E18" s="4"/>
      <c r="F18" s="12">
        <f t="shared" ref="F18:F21" si="4">IF(D$12=0,0,D18/D$12)</f>
        <v>0.38142783753696397</v>
      </c>
      <c r="G18" s="4"/>
      <c r="H18" s="4">
        <f>SUM(OSRRefH16x_0)</f>
        <v>6543</v>
      </c>
      <c r="I18" s="4"/>
      <c r="J18" s="12">
        <f t="shared" ref="J18:J21" si="5">IF(H$12=0,0,H18/H$12)</f>
        <v>0.31998239436619719</v>
      </c>
      <c r="K18" s="4"/>
      <c r="L18" s="4">
        <f t="shared" ref="L18:L21" si="6">+D18-H18</f>
        <v>12798.5</v>
      </c>
      <c r="M18" s="4"/>
      <c r="N18" s="12">
        <f t="shared" ref="N18:N21" si="7">IF(H18=0,0,L18/H18)</f>
        <v>1.9560599113556472</v>
      </c>
      <c r="O18" s="10"/>
      <c r="P18" s="4">
        <f>SUM(OSRRefP16x_0)</f>
        <v>113035.15000000001</v>
      </c>
      <c r="Q18" s="4"/>
      <c r="R18" s="12">
        <f t="shared" ref="R18:R21" si="8">IF(P$12=0,0,P18/P$12)</f>
        <v>0.35921959943516463</v>
      </c>
      <c r="S18" s="4"/>
      <c r="T18" s="4">
        <f>SUM(OSRRefT16x_0)</f>
        <v>46194</v>
      </c>
      <c r="U18" s="4"/>
      <c r="V18" s="12">
        <f t="shared" ref="V18:V21" si="9">IF(T$12=0,0,T18/T$12)</f>
        <v>0.32650551314673454</v>
      </c>
      <c r="W18" s="4"/>
      <c r="X18" s="4">
        <f t="shared" ref="X18:X21" si="10">+P18-T18</f>
        <v>66841.150000000009</v>
      </c>
      <c r="Y18" s="4"/>
      <c r="Z18" s="12">
        <f t="shared" ref="Z18:Z21" si="11">IF(T18=0,0,X18/T18)</f>
        <v>1.4469660561977749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6543</v>
      </c>
      <c r="I19" s="2"/>
      <c r="J19" s="19">
        <f t="shared" si="5"/>
        <v>0.31998239436619719</v>
      </c>
      <c r="K19" s="2"/>
      <c r="L19" s="2">
        <f t="shared" si="6"/>
        <v>-6543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46194</v>
      </c>
      <c r="U19" s="2"/>
      <c r="V19" s="19">
        <f t="shared" si="9"/>
        <v>0.32650551314673454</v>
      </c>
      <c r="W19" s="2"/>
      <c r="X19" s="2">
        <f t="shared" si="10"/>
        <v>-46194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13948.38</v>
      </c>
      <c r="E20" s="2"/>
      <c r="F20" s="19">
        <f t="shared" si="4"/>
        <v>0.27507175868178979</v>
      </c>
      <c r="G20" s="2"/>
      <c r="H20" s="2"/>
      <c r="I20" s="2"/>
      <c r="J20" s="19">
        <f t="shared" si="5"/>
        <v>0</v>
      </c>
      <c r="K20" s="2"/>
      <c r="L20" s="2">
        <f t="shared" si="6"/>
        <v>13948.38</v>
      </c>
      <c r="M20" s="2"/>
      <c r="N20" s="19">
        <f t="shared" si="7"/>
        <v>0</v>
      </c>
      <c r="O20" s="11"/>
      <c r="P20" s="2">
        <v>114532.66</v>
      </c>
      <c r="Q20" s="2"/>
      <c r="R20" s="19">
        <f t="shared" si="8"/>
        <v>0.36397860530502152</v>
      </c>
      <c r="S20" s="2"/>
      <c r="T20" s="2"/>
      <c r="U20" s="2"/>
      <c r="V20" s="19">
        <f t="shared" si="9"/>
        <v>0</v>
      </c>
      <c r="W20" s="2"/>
      <c r="X20" s="2">
        <f t="shared" si="10"/>
        <v>114532.66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5393.12</v>
      </c>
      <c r="E21" s="2"/>
      <c r="F21" s="19">
        <f t="shared" si="4"/>
        <v>0.10635607885517416</v>
      </c>
      <c r="G21" s="2"/>
      <c r="H21" s="2"/>
      <c r="I21" s="2"/>
      <c r="J21" s="19">
        <f t="shared" si="5"/>
        <v>0</v>
      </c>
      <c r="K21" s="2"/>
      <c r="L21" s="2">
        <f t="shared" si="6"/>
        <v>5393.12</v>
      </c>
      <c r="M21" s="2"/>
      <c r="N21" s="19">
        <f t="shared" si="7"/>
        <v>0</v>
      </c>
      <c r="O21" s="11"/>
      <c r="P21" s="2">
        <v>-1497.51</v>
      </c>
      <c r="Q21" s="2"/>
      <c r="R21" s="19">
        <f t="shared" si="8"/>
        <v>-4.7590058698568838E-3</v>
      </c>
      <c r="S21" s="2"/>
      <c r="T21" s="2"/>
      <c r="U21" s="2"/>
      <c r="V21" s="19">
        <f t="shared" si="9"/>
        <v>0</v>
      </c>
      <c r="W21" s="2"/>
      <c r="X21" s="2">
        <f t="shared" si="10"/>
        <v>-1497.51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31366.65</v>
      </c>
      <c r="E23" s="13"/>
      <c r="F23" s="22">
        <f>IF(D$12=0,0,D23/D$12)</f>
        <v>0.61857216246303603</v>
      </c>
      <c r="G23" s="13"/>
      <c r="H23" s="20">
        <f>H12-H18</f>
        <v>13905</v>
      </c>
      <c r="I23" s="13"/>
      <c r="J23" s="22">
        <f>IF(H$12=0,0,H23/H$12)</f>
        <v>0.68001760563380287</v>
      </c>
      <c r="K23" s="16"/>
      <c r="L23" s="20">
        <f>+D23-H23</f>
        <v>17461.650000000001</v>
      </c>
      <c r="M23" s="16"/>
      <c r="N23" s="22">
        <f>IF(H23=0,0,L23/H23)</f>
        <v>1.2557820927723842</v>
      </c>
      <c r="O23" s="25"/>
      <c r="P23" s="20">
        <f>P12-P18</f>
        <v>201633.50999999995</v>
      </c>
      <c r="Q23" s="13"/>
      <c r="R23" s="22">
        <f>IF(P$12=0,0,P23/P$12)</f>
        <v>0.64078040056483532</v>
      </c>
      <c r="S23" s="13"/>
      <c r="T23" s="20">
        <f>T12-T18</f>
        <v>95286</v>
      </c>
      <c r="U23" s="13"/>
      <c r="V23" s="22">
        <f>IF(T$12=0,0,T23/T$12)</f>
        <v>0.67349448685326552</v>
      </c>
      <c r="W23" s="16"/>
      <c r="X23" s="20">
        <f>+P23-T23</f>
        <v>106347.50999999995</v>
      </c>
      <c r="Y23" s="16"/>
      <c r="Z23" s="22">
        <f>IF(T23=0,0,X23/T23)</f>
        <v>1.1160874630061075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77305.159999999989</v>
      </c>
      <c r="E25" s="21"/>
      <c r="F25" s="32">
        <f t="shared" ref="F25:F35" si="12">IF(D$12=0,0,D25/D$12)</f>
        <v>1.5245115430162604</v>
      </c>
      <c r="G25" s="21"/>
      <c r="H25" s="21">
        <f>SUM(OSRRefH22x_0)</f>
        <v>50890.036291291231</v>
      </c>
      <c r="I25" s="21"/>
      <c r="J25" s="32">
        <f t="shared" ref="J25:J35" si="13">IF(H$12=0,0,H25/H$12)</f>
        <v>2.4887537309903771</v>
      </c>
      <c r="K25" s="4"/>
      <c r="L25" s="21">
        <f t="shared" ref="L25:L35" si="14">+D25-H25</f>
        <v>26415.123708708757</v>
      </c>
      <c r="M25" s="4"/>
      <c r="N25" s="32">
        <f t="shared" ref="N25:N35" si="15">IF(H25=0,0,L25/H25)</f>
        <v>0.51906277994203665</v>
      </c>
      <c r="O25" s="10"/>
      <c r="P25" s="21">
        <f>SUM(OSRRefP22x_0)</f>
        <v>455105.58999999985</v>
      </c>
      <c r="Q25" s="21"/>
      <c r="R25" s="32">
        <f t="shared" ref="R25:R35" si="16">IF(P$12=0,0,P25/P$12)</f>
        <v>1.4463009757628862</v>
      </c>
      <c r="S25" s="21"/>
      <c r="T25" s="21">
        <f>SUM(OSRRefT22x_0)</f>
        <v>333972.32757389708</v>
      </c>
      <c r="U25" s="21"/>
      <c r="V25" s="32">
        <f t="shared" ref="V25:V35" si="17">IF(T$12=0,0,T25/T$12)</f>
        <v>2.3605621117747884</v>
      </c>
      <c r="W25" s="4"/>
      <c r="X25" s="21">
        <f t="shared" ref="X25:X35" si="18">+P25-T25</f>
        <v>121133.26242610277</v>
      </c>
      <c r="Y25" s="4"/>
      <c r="Z25" s="32">
        <f t="shared" ref="Z25:Z35" si="19">IF(T25=0,0,X25/T25)</f>
        <v>0.36270448903973929</v>
      </c>
    </row>
    <row r="26" spans="1:26" s="28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14366.4</v>
      </c>
      <c r="E26" s="1"/>
      <c r="F26" s="5">
        <f t="shared" si="12"/>
        <v>0.28331540393408161</v>
      </c>
      <c r="G26" s="1"/>
      <c r="H26" s="1">
        <f>SUM(OSRRefH22_0x_0)</f>
        <v>4953.59251129123</v>
      </c>
      <c r="I26" s="1"/>
      <c r="J26" s="5">
        <f t="shared" si="13"/>
        <v>0.24225315489491539</v>
      </c>
      <c r="K26" s="1"/>
      <c r="L26" s="1">
        <f t="shared" si="14"/>
        <v>9412.8074887087696</v>
      </c>
      <c r="M26" s="1"/>
      <c r="N26" s="5">
        <f t="shared" si="15"/>
        <v>1.9001981828850869</v>
      </c>
      <c r="O26" s="14"/>
      <c r="P26" s="1">
        <f>SUM(OSRRefP22_0x_0)</f>
        <v>76766.039999999994</v>
      </c>
      <c r="Q26" s="1"/>
      <c r="R26" s="5">
        <f t="shared" si="16"/>
        <v>0.24395832746737472</v>
      </c>
      <c r="S26" s="1"/>
      <c r="T26" s="1">
        <f>SUM(OSRRefT22_0x_0)</f>
        <v>38705.983063897096</v>
      </c>
      <c r="U26" s="1"/>
      <c r="V26" s="5">
        <f t="shared" si="17"/>
        <v>0.27357918478864218</v>
      </c>
      <c r="W26" s="1"/>
      <c r="X26" s="1">
        <f t="shared" si="18"/>
        <v>38060.056936102897</v>
      </c>
      <c r="Y26" s="1"/>
      <c r="Z26" s="5">
        <f t="shared" si="19"/>
        <v>0.98331198236903372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6">
        <v>2058.66</v>
      </c>
      <c r="E27" s="2"/>
      <c r="F27" s="7">
        <f t="shared" si="12"/>
        <v>4.0598207585960042E-2</v>
      </c>
      <c r="G27" s="2"/>
      <c r="H27" s="6">
        <v>598.00139452200006</v>
      </c>
      <c r="I27" s="2"/>
      <c r="J27" s="7">
        <f t="shared" si="13"/>
        <v>2.9244982126467138E-2</v>
      </c>
      <c r="K27" s="2"/>
      <c r="L27" s="6">
        <f t="shared" si="14"/>
        <v>1460.6586054779998</v>
      </c>
      <c r="M27" s="2"/>
      <c r="N27" s="7">
        <f t="shared" si="15"/>
        <v>2.4425672228499513</v>
      </c>
      <c r="O27" s="11"/>
      <c r="P27" s="6">
        <v>10559.27</v>
      </c>
      <c r="Q27" s="2"/>
      <c r="R27" s="7">
        <f t="shared" si="16"/>
        <v>3.3556789544913694E-2</v>
      </c>
      <c r="S27" s="2"/>
      <c r="T27" s="6">
        <v>5524.5381349740001</v>
      </c>
      <c r="U27" s="2"/>
      <c r="V27" s="7">
        <f t="shared" si="17"/>
        <v>3.9048191510983883E-2</v>
      </c>
      <c r="W27" s="2"/>
      <c r="X27" s="6">
        <f t="shared" si="18"/>
        <v>5034.7318650260004</v>
      </c>
      <c r="Y27" s="2"/>
      <c r="Z27" s="7">
        <f t="shared" si="19"/>
        <v>0.9113398698712567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1119.93</v>
      </c>
      <c r="E28" s="2"/>
      <c r="F28" s="7">
        <f t="shared" si="12"/>
        <v>2.2085798831154361E-2</v>
      </c>
      <c r="G28" s="2"/>
      <c r="H28" s="6">
        <v>469.44635646</v>
      </c>
      <c r="I28" s="2"/>
      <c r="J28" s="7">
        <f t="shared" si="13"/>
        <v>2.2958057338615025E-2</v>
      </c>
      <c r="K28" s="2"/>
      <c r="L28" s="6">
        <f t="shared" si="14"/>
        <v>650.48364354</v>
      </c>
      <c r="M28" s="2"/>
      <c r="N28" s="7">
        <f t="shared" si="15"/>
        <v>1.3856399875912673</v>
      </c>
      <c r="O28" s="11"/>
      <c r="P28" s="6">
        <v>5898.46</v>
      </c>
      <c r="Q28" s="2"/>
      <c r="R28" s="7">
        <f t="shared" si="16"/>
        <v>1.8744987187475234E-2</v>
      </c>
      <c r="S28" s="2"/>
      <c r="T28" s="6">
        <v>3537.5623428200001</v>
      </c>
      <c r="U28" s="2"/>
      <c r="V28" s="7">
        <f t="shared" si="17"/>
        <v>2.5003974716002263E-2</v>
      </c>
      <c r="W28" s="2"/>
      <c r="X28" s="6">
        <f t="shared" si="18"/>
        <v>2360.8976571799999</v>
      </c>
      <c r="Y28" s="2"/>
      <c r="Z28" s="7">
        <f t="shared" si="19"/>
        <v>0.66737980235791083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6">
        <v>7197.43</v>
      </c>
      <c r="E29" s="2"/>
      <c r="F29" s="7">
        <f t="shared" si="12"/>
        <v>0.14193832746806972</v>
      </c>
      <c r="G29" s="2"/>
      <c r="H29" s="6">
        <v>2706.9692307692299</v>
      </c>
      <c r="I29" s="2"/>
      <c r="J29" s="7">
        <f t="shared" si="13"/>
        <v>0.13238308053448894</v>
      </c>
      <c r="K29" s="2"/>
      <c r="L29" s="6">
        <f t="shared" si="14"/>
        <v>4490.4607692307709</v>
      </c>
      <c r="M29" s="2"/>
      <c r="N29" s="7">
        <f t="shared" si="15"/>
        <v>1.658851795649976</v>
      </c>
      <c r="O29" s="11"/>
      <c r="P29" s="6">
        <v>37305.56</v>
      </c>
      <c r="Q29" s="2"/>
      <c r="R29" s="7">
        <f t="shared" si="16"/>
        <v>0.11855505406861935</v>
      </c>
      <c r="S29" s="2"/>
      <c r="T29" s="6">
        <v>21990.323076923101</v>
      </c>
      <c r="U29" s="2"/>
      <c r="V29" s="7">
        <f t="shared" si="17"/>
        <v>0.15543061264435326</v>
      </c>
      <c r="W29" s="2"/>
      <c r="X29" s="6">
        <f t="shared" si="18"/>
        <v>15315.236923076896</v>
      </c>
      <c r="Y29" s="2"/>
      <c r="Z29" s="7">
        <f t="shared" si="19"/>
        <v>0.69645347499004606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80.88</v>
      </c>
      <c r="E30" s="2"/>
      <c r="F30" s="7">
        <f t="shared" si="12"/>
        <v>1.5950098751384145E-3</v>
      </c>
      <c r="G30" s="2"/>
      <c r="H30" s="6">
        <v>26.011539540000001</v>
      </c>
      <c r="I30" s="2"/>
      <c r="J30" s="7">
        <f t="shared" si="13"/>
        <v>1.2720823327464789E-3</v>
      </c>
      <c r="K30" s="2"/>
      <c r="L30" s="6">
        <f t="shared" si="14"/>
        <v>54.868460459999994</v>
      </c>
      <c r="M30" s="2"/>
      <c r="N30" s="7">
        <f t="shared" si="15"/>
        <v>2.1093891953463357</v>
      </c>
      <c r="O30" s="11"/>
      <c r="P30" s="6">
        <v>426.01</v>
      </c>
      <c r="Q30" s="2"/>
      <c r="R30" s="7">
        <f t="shared" si="16"/>
        <v>1.3538367627713545E-3</v>
      </c>
      <c r="S30" s="2"/>
      <c r="T30" s="6">
        <v>196.01268918</v>
      </c>
      <c r="U30" s="2"/>
      <c r="V30" s="7">
        <f t="shared" si="17"/>
        <v>1.3854445093299406E-3</v>
      </c>
      <c r="W30" s="2"/>
      <c r="X30" s="6">
        <f t="shared" si="18"/>
        <v>229.99731082</v>
      </c>
      <c r="Y30" s="2"/>
      <c r="Z30" s="7">
        <f t="shared" si="19"/>
        <v>1.1733797020089431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6">
        <v>905.43</v>
      </c>
      <c r="E31" s="2"/>
      <c r="F31" s="7">
        <f t="shared" si="12"/>
        <v>1.7855709585145582E-2</v>
      </c>
      <c r="G31" s="2"/>
      <c r="H31" s="6">
        <v>437.49662000000001</v>
      </c>
      <c r="I31" s="2"/>
      <c r="J31" s="7">
        <f t="shared" si="13"/>
        <v>2.1395570226917057E-2</v>
      </c>
      <c r="K31" s="2"/>
      <c r="L31" s="6">
        <f t="shared" si="14"/>
        <v>467.93337999999994</v>
      </c>
      <c r="M31" s="2"/>
      <c r="N31" s="7">
        <f t="shared" si="15"/>
        <v>1.0695702746229214</v>
      </c>
      <c r="O31" s="11"/>
      <c r="P31" s="6">
        <v>5728.61</v>
      </c>
      <c r="Q31" s="2"/>
      <c r="R31" s="7">
        <f t="shared" si="16"/>
        <v>1.8205213064434188E-2</v>
      </c>
      <c r="S31" s="2"/>
      <c r="T31" s="6">
        <v>2843.7280300000002</v>
      </c>
      <c r="U31" s="2"/>
      <c r="V31" s="7">
        <f t="shared" si="17"/>
        <v>2.0099858849307324E-2</v>
      </c>
      <c r="W31" s="2"/>
      <c r="X31" s="6">
        <f t="shared" si="18"/>
        <v>2884.8819699999995</v>
      </c>
      <c r="Y31" s="2"/>
      <c r="Z31" s="7">
        <f t="shared" si="19"/>
        <v>1.0144718269700352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"6118", " - ", "VACATION")</f>
        <v xml:space="preserve">          6118 - VACATION</v>
      </c>
      <c r="C33" s="11"/>
      <c r="D33" s="6">
        <v>1265.98</v>
      </c>
      <c r="E33" s="2"/>
      <c r="F33" s="7">
        <f t="shared" si="12"/>
        <v>2.4966006450639591E-2</v>
      </c>
      <c r="G33" s="2"/>
      <c r="H33" s="6">
        <v>192.602172</v>
      </c>
      <c r="I33" s="2"/>
      <c r="J33" s="7">
        <f t="shared" si="13"/>
        <v>9.4191203051643187E-3</v>
      </c>
      <c r="K33" s="2"/>
      <c r="L33" s="6">
        <f t="shared" si="14"/>
        <v>1073.3778280000001</v>
      </c>
      <c r="M33" s="2"/>
      <c r="N33" s="7">
        <f t="shared" si="15"/>
        <v>5.573030754814126</v>
      </c>
      <c r="O33" s="11"/>
      <c r="P33" s="6">
        <v>7127.57</v>
      </c>
      <c r="Q33" s="2"/>
      <c r="R33" s="7">
        <f t="shared" si="16"/>
        <v>2.2651032358926373E-2</v>
      </c>
      <c r="S33" s="2"/>
      <c r="T33" s="6">
        <v>1546.8187740000001</v>
      </c>
      <c r="U33" s="2"/>
      <c r="V33" s="7">
        <f t="shared" si="17"/>
        <v>1.0933126759966074E-2</v>
      </c>
      <c r="W33" s="2"/>
      <c r="X33" s="6">
        <f t="shared" si="18"/>
        <v>5580.7512259999994</v>
      </c>
      <c r="Y33" s="2"/>
      <c r="Z33" s="7">
        <f t="shared" si="19"/>
        <v>3.6078895083284004</v>
      </c>
    </row>
    <row r="34" spans="1:26" s="24" customFormat="1" hidden="1" outlineLevel="2" x14ac:dyDescent="0.3">
      <c r="A34" s="29"/>
      <c r="B34" s="11" t="str">
        <f>CONCATENATE("          ", "6119", " - ", "SICK LEAVE")</f>
        <v xml:space="preserve">          6119 - SICK LEAVE</v>
      </c>
      <c r="C34" s="11"/>
      <c r="D34" s="6">
        <v>850.19</v>
      </c>
      <c r="E34" s="2"/>
      <c r="F34" s="7">
        <f t="shared" si="12"/>
        <v>1.6766338349949665E-2</v>
      </c>
      <c r="G34" s="2"/>
      <c r="H34" s="6">
        <v>188.06519800000001</v>
      </c>
      <c r="I34" s="2"/>
      <c r="J34" s="7">
        <f t="shared" si="13"/>
        <v>9.1972416862284821E-3</v>
      </c>
      <c r="K34" s="2"/>
      <c r="L34" s="6">
        <f t="shared" si="14"/>
        <v>662.12480200000005</v>
      </c>
      <c r="M34" s="2"/>
      <c r="N34" s="7">
        <f t="shared" si="15"/>
        <v>3.5207194581530179</v>
      </c>
      <c r="O34" s="11"/>
      <c r="P34" s="6">
        <v>5448.37</v>
      </c>
      <c r="Q34" s="2"/>
      <c r="R34" s="7">
        <f t="shared" si="16"/>
        <v>1.7314625485741097E-2</v>
      </c>
      <c r="S34" s="2"/>
      <c r="T34" s="6">
        <v>1449.000016</v>
      </c>
      <c r="U34" s="2"/>
      <c r="V34" s="7">
        <f t="shared" si="17"/>
        <v>1.0241730392988408E-2</v>
      </c>
      <c r="W34" s="2"/>
      <c r="X34" s="6">
        <f t="shared" si="18"/>
        <v>3999.3699839999999</v>
      </c>
      <c r="Y34" s="2"/>
      <c r="Z34" s="7">
        <f t="shared" si="19"/>
        <v>2.7600896755269599</v>
      </c>
    </row>
    <row r="35" spans="1:26" s="24" customFormat="1" hidden="1" outlineLevel="2" x14ac:dyDescent="0.3">
      <c r="A35" s="29"/>
      <c r="B35" s="11" t="str">
        <f>CONCATENATE("          ", "6156", " - ", "EMPLOYEE MEALS")</f>
        <v xml:space="preserve">          6156 - EMPLOYEE MEALS</v>
      </c>
      <c r="C35" s="11"/>
      <c r="D35" s="6">
        <v>887.9</v>
      </c>
      <c r="E35" s="2"/>
      <c r="F35" s="7">
        <f t="shared" si="12"/>
        <v>1.751000578802421E-2</v>
      </c>
      <c r="G35" s="2"/>
      <c r="H35" s="6">
        <v>335</v>
      </c>
      <c r="I35" s="2"/>
      <c r="J35" s="7">
        <f t="shared" si="13"/>
        <v>1.638302034428795E-2</v>
      </c>
      <c r="K35" s="2"/>
      <c r="L35" s="6">
        <f t="shared" si="14"/>
        <v>552.9</v>
      </c>
      <c r="M35" s="2"/>
      <c r="N35" s="7">
        <f t="shared" si="15"/>
        <v>1.6504477611940298</v>
      </c>
      <c r="O35" s="11"/>
      <c r="P35" s="6">
        <v>4272.1899999999996</v>
      </c>
      <c r="Q35" s="2"/>
      <c r="R35" s="7">
        <f t="shared" si="16"/>
        <v>1.3576788994493445E-2</v>
      </c>
      <c r="S35" s="2"/>
      <c r="T35" s="6">
        <v>1618</v>
      </c>
      <c r="U35" s="2"/>
      <c r="V35" s="7">
        <f t="shared" si="17"/>
        <v>1.1436245405711054E-2</v>
      </c>
      <c r="W35" s="2"/>
      <c r="X35" s="6">
        <f t="shared" si="18"/>
        <v>2654.1899999999996</v>
      </c>
      <c r="Y35" s="2"/>
      <c r="Z35" s="7">
        <f t="shared" si="19"/>
        <v>1.6404140914709515</v>
      </c>
    </row>
    <row r="36" spans="1:26" s="28" customFormat="1" outlineLevel="1" collapsed="1" x14ac:dyDescent="0.3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28212.579999999994</v>
      </c>
      <c r="E36" s="1"/>
      <c r="F36" s="5">
        <f t="shared" ref="F36:F46" si="20">IF(D$12=0,0,D36/D$12)</f>
        <v>0.55637170750658416</v>
      </c>
      <c r="G36" s="1"/>
      <c r="H36" s="1">
        <f>SUM(OSRRefH22_1x_0)</f>
        <v>12065.44378</v>
      </c>
      <c r="I36" s="1"/>
      <c r="J36" s="5">
        <f t="shared" ref="J36:J46" si="21">IF(H$12=0,0,H36/H$12)</f>
        <v>0.59005495794209706</v>
      </c>
      <c r="K36" s="1"/>
      <c r="L36" s="1">
        <f t="shared" ref="L36:L46" si="22">+D36-H36</f>
        <v>16147.136219999995</v>
      </c>
      <c r="M36" s="1"/>
      <c r="N36" s="5">
        <f t="shared" ref="N36:N46" si="23">IF(H36=0,0,L36/H36)</f>
        <v>1.3382960887659945</v>
      </c>
      <c r="O36" s="14"/>
      <c r="P36" s="1">
        <f>SUM(OSRRefP22_1x_0)</f>
        <v>154538.99</v>
      </c>
      <c r="Q36" s="1"/>
      <c r="R36" s="5">
        <f t="shared" ref="R36:R46" si="24">IF(P$12=0,0,P36/P$12)</f>
        <v>0.49111656051161878</v>
      </c>
      <c r="S36" s="1"/>
      <c r="T36" s="1">
        <f>SUM(OSRRefT22_1x_0)</f>
        <v>90761.344509999995</v>
      </c>
      <c r="U36" s="1"/>
      <c r="V36" s="5">
        <f t="shared" ref="V36:V46" si="25">IF(T$12=0,0,T36/T$12)</f>
        <v>0.64151360270002822</v>
      </c>
      <c r="W36" s="1"/>
      <c r="X36" s="1">
        <f t="shared" ref="X36:X46" si="26">+P36-T36</f>
        <v>63777.645489999995</v>
      </c>
      <c r="Y36" s="1"/>
      <c r="Z36" s="5">
        <f t="shared" ref="Z36:Z46" si="27">IF(T36=0,0,X36/T36)</f>
        <v>0.70269612944057958</v>
      </c>
    </row>
    <row r="37" spans="1:26" s="24" customFormat="1" hidden="1" outlineLevel="2" x14ac:dyDescent="0.3">
      <c r="A37" s="29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9"/>
      <c r="B38" s="11" t="str">
        <f>CONCATENATE("          ", "6002", " - ", "STAFF SALARIES")</f>
        <v xml:space="preserve">          6002 - STAFF SALARIES</v>
      </c>
      <c r="C38" s="11"/>
      <c r="D38" s="6">
        <v>9151.7099999999991</v>
      </c>
      <c r="E38" s="2"/>
      <c r="F38" s="7">
        <f t="shared" si="20"/>
        <v>0.18047808882793001</v>
      </c>
      <c r="G38" s="2"/>
      <c r="H38" s="6">
        <v>4832.8114999999998</v>
      </c>
      <c r="I38" s="2"/>
      <c r="J38" s="7">
        <f t="shared" si="21"/>
        <v>0.23634641529733957</v>
      </c>
      <c r="K38" s="2"/>
      <c r="L38" s="6">
        <f t="shared" si="22"/>
        <v>4318.8984999999993</v>
      </c>
      <c r="M38" s="2"/>
      <c r="N38" s="7">
        <f t="shared" si="23"/>
        <v>0.89366169154331787</v>
      </c>
      <c r="O38" s="11"/>
      <c r="P38" s="6">
        <v>59568.4</v>
      </c>
      <c r="Q38" s="2"/>
      <c r="R38" s="7">
        <f t="shared" si="24"/>
        <v>0.18930515673216394</v>
      </c>
      <c r="S38" s="2"/>
      <c r="T38" s="6">
        <v>31413.27475</v>
      </c>
      <c r="U38" s="2"/>
      <c r="V38" s="7">
        <f t="shared" si="25"/>
        <v>0.22203332449816229</v>
      </c>
      <c r="W38" s="2"/>
      <c r="X38" s="6">
        <f t="shared" si="26"/>
        <v>28155.125250000001</v>
      </c>
      <c r="Y38" s="2"/>
      <c r="Z38" s="7">
        <f t="shared" si="27"/>
        <v>0.89628112554549888</v>
      </c>
    </row>
    <row r="39" spans="1:26" s="24" customFormat="1" hidden="1" outlineLevel="2" x14ac:dyDescent="0.3">
      <c r="A39" s="29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"6004", " - ", "STAFF HOURLY")</f>
        <v xml:space="preserve">          6004 - STAFF HOURLY</v>
      </c>
      <c r="C40" s="11"/>
      <c r="D40" s="6">
        <v>6190.28</v>
      </c>
      <c r="E40" s="2"/>
      <c r="F40" s="7">
        <f t="shared" si="20"/>
        <v>0.12207662870761406</v>
      </c>
      <c r="G40" s="2"/>
      <c r="H40" s="6">
        <v>2660.1322799999998</v>
      </c>
      <c r="I40" s="2"/>
      <c r="J40" s="7">
        <f t="shared" si="21"/>
        <v>0.13009254107981219</v>
      </c>
      <c r="K40" s="2"/>
      <c r="L40" s="6">
        <f t="shared" si="22"/>
        <v>3530.1477199999999</v>
      </c>
      <c r="M40" s="2"/>
      <c r="N40" s="7">
        <f t="shared" si="23"/>
        <v>1.3270572093505064</v>
      </c>
      <c r="O40" s="11"/>
      <c r="P40" s="6">
        <v>28756.17</v>
      </c>
      <c r="Q40" s="2"/>
      <c r="R40" s="7">
        <f t="shared" si="24"/>
        <v>9.1385554570321686E-2</v>
      </c>
      <c r="S40" s="2"/>
      <c r="T40" s="6">
        <v>37398.569759999998</v>
      </c>
      <c r="U40" s="2"/>
      <c r="V40" s="7">
        <f t="shared" si="25"/>
        <v>0.26433820865139945</v>
      </c>
      <c r="W40" s="2"/>
      <c r="X40" s="6">
        <f t="shared" si="26"/>
        <v>-8642.3997600000002</v>
      </c>
      <c r="Y40" s="2"/>
      <c r="Z40" s="7">
        <f t="shared" si="27"/>
        <v>-0.23108904472714789</v>
      </c>
    </row>
    <row r="41" spans="1:26" s="24" customFormat="1" hidden="1" outlineLevel="2" x14ac:dyDescent="0.3">
      <c r="A41" s="29"/>
      <c r="B41" s="11" t="str">
        <f>CONCATENATE("          ", "6005", " - ", "TEMPORARY WAGES-HOURLY")</f>
        <v xml:space="preserve">          6005 - TEMPORARY WAGES-HOURLY</v>
      </c>
      <c r="C41" s="11"/>
      <c r="D41" s="6">
        <v>8552.3799999999992</v>
      </c>
      <c r="E41" s="2"/>
      <c r="F41" s="7">
        <f t="shared" si="20"/>
        <v>0.16865888422275313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8552.3799999999992</v>
      </c>
      <c r="M41" s="2"/>
      <c r="N41" s="7">
        <f t="shared" si="23"/>
        <v>0</v>
      </c>
      <c r="O41" s="11"/>
      <c r="P41" s="6">
        <v>40638.839999999997</v>
      </c>
      <c r="Q41" s="2"/>
      <c r="R41" s="7">
        <f t="shared" si="24"/>
        <v>0.12914803781221809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40638.839999999997</v>
      </c>
      <c r="Y41" s="2"/>
      <c r="Z41" s="7">
        <f t="shared" si="27"/>
        <v>0</v>
      </c>
    </row>
    <row r="42" spans="1:26" s="24" customFormat="1" hidden="1" outlineLevel="2" x14ac:dyDescent="0.3">
      <c r="A42" s="29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"6007", " - ", "STUDENT HOURLY")</f>
        <v xml:space="preserve">          6007 - STUDENT HOURLY</v>
      </c>
      <c r="C43" s="11"/>
      <c r="D43" s="6">
        <v>4318.21</v>
      </c>
      <c r="E43" s="2"/>
      <c r="F43" s="7">
        <f t="shared" si="20"/>
        <v>8.5158105748287014E-2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4318.21</v>
      </c>
      <c r="M43" s="2"/>
      <c r="N43" s="7">
        <f t="shared" si="23"/>
        <v>0</v>
      </c>
      <c r="O43" s="11"/>
      <c r="P43" s="6">
        <v>25575.58</v>
      </c>
      <c r="Q43" s="2"/>
      <c r="R43" s="7">
        <f t="shared" si="24"/>
        <v>8.1277811396915103E-2</v>
      </c>
      <c r="S43" s="2"/>
      <c r="T43" s="6">
        <v>798</v>
      </c>
      <c r="U43" s="2"/>
      <c r="V43" s="7">
        <f t="shared" si="25"/>
        <v>5.6403731976251061E-3</v>
      </c>
      <c r="W43" s="2"/>
      <c r="X43" s="6">
        <f t="shared" si="26"/>
        <v>24777.58</v>
      </c>
      <c r="Y43" s="2"/>
      <c r="Z43" s="7">
        <f t="shared" si="27"/>
        <v>31.049598997493735</v>
      </c>
    </row>
    <row r="44" spans="1:26" s="24" customFormat="1" hidden="1" outlineLevel="2" x14ac:dyDescent="0.3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4572.5</v>
      </c>
      <c r="I44" s="2"/>
      <c r="J44" s="7">
        <f t="shared" si="21"/>
        <v>0.22361600156494524</v>
      </c>
      <c r="K44" s="2"/>
      <c r="L44" s="6">
        <f t="shared" si="22"/>
        <v>-4572.5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21151.5</v>
      </c>
      <c r="U44" s="2"/>
      <c r="V44" s="7">
        <f t="shared" si="25"/>
        <v>0.14950169635284138</v>
      </c>
      <c r="W44" s="2"/>
      <c r="X44" s="6">
        <f t="shared" si="26"/>
        <v>-21151.5</v>
      </c>
      <c r="Y44" s="2"/>
      <c r="Z44" s="7">
        <f t="shared" si="27"/>
        <v>-1</v>
      </c>
    </row>
    <row r="45" spans="1:26" s="24" customFormat="1" hidden="1" outlineLevel="2" x14ac:dyDescent="0.3">
      <c r="A45" s="29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8" customFormat="1" outlineLevel="1" collapsed="1" x14ac:dyDescent="0.3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43.53</v>
      </c>
      <c r="E47" s="1"/>
      <c r="F47" s="5">
        <f t="shared" ref="F47:F55" si="28">IF(D$12=0,0,D47/D$12)</f>
        <v>8.5844188754667639E-4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43.53</v>
      </c>
      <c r="M47" s="1"/>
      <c r="N47" s="5">
        <f t="shared" ref="N47:N55" si="31">IF(H47=0,0,L47/H47)</f>
        <v>0</v>
      </c>
      <c r="O47" s="14"/>
      <c r="P47" s="1">
        <f>SUM(OSRRefP22_2x_0)</f>
        <v>431.52</v>
      </c>
      <c r="Q47" s="1"/>
      <c r="R47" s="5">
        <f t="shared" ref="R47:R55" si="32">IF(P$12=0,0,P47/P$12)</f>
        <v>1.3713472450672399E-3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431.52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9"/>
      <c r="B48" s="11" t="str">
        <f>CONCATENATE("          ", "6362", " - ", "ADVERTISING EXPENSE")</f>
        <v xml:space="preserve">          6362 - ADVERTISING EXPENSE</v>
      </c>
      <c r="C48" s="11"/>
      <c r="D48" s="6">
        <v>43.53</v>
      </c>
      <c r="E48" s="2"/>
      <c r="F48" s="7">
        <f t="shared" si="28"/>
        <v>8.5844188754667639E-4</v>
      </c>
      <c r="G48" s="2"/>
      <c r="H48" s="6"/>
      <c r="I48" s="2"/>
      <c r="J48" s="7">
        <f t="shared" si="29"/>
        <v>0</v>
      </c>
      <c r="K48" s="2"/>
      <c r="L48" s="6">
        <f t="shared" si="30"/>
        <v>43.53</v>
      </c>
      <c r="M48" s="2"/>
      <c r="N48" s="7">
        <f t="shared" si="31"/>
        <v>0</v>
      </c>
      <c r="O48" s="11"/>
      <c r="P48" s="6">
        <v>431.52</v>
      </c>
      <c r="Q48" s="2"/>
      <c r="R48" s="7">
        <f t="shared" si="32"/>
        <v>1.3713472450672399E-3</v>
      </c>
      <c r="S48" s="2"/>
      <c r="T48" s="6"/>
      <c r="U48" s="2"/>
      <c r="V48" s="7">
        <f t="shared" si="33"/>
        <v>0</v>
      </c>
      <c r="W48" s="2"/>
      <c r="X48" s="6">
        <f t="shared" si="34"/>
        <v>431.52</v>
      </c>
      <c r="Y48" s="2"/>
      <c r="Z48" s="7">
        <f t="shared" si="35"/>
        <v>0</v>
      </c>
    </row>
    <row r="49" spans="1:26" s="28" customFormat="1" outlineLevel="1" collapsed="1" x14ac:dyDescent="0.3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29.9</v>
      </c>
      <c r="E49" s="1"/>
      <c r="F49" s="5">
        <f t="shared" si="28"/>
        <v>5.8964880398910231E-4</v>
      </c>
      <c r="G49" s="1"/>
      <c r="H49" s="1">
        <f>SUM(OSRRefH22_3x_0)</f>
        <v>10</v>
      </c>
      <c r="I49" s="1"/>
      <c r="J49" s="5">
        <f t="shared" si="29"/>
        <v>4.8904538341158061E-4</v>
      </c>
      <c r="K49" s="1"/>
      <c r="L49" s="1">
        <f t="shared" si="30"/>
        <v>19.899999999999999</v>
      </c>
      <c r="M49" s="1"/>
      <c r="N49" s="5">
        <f t="shared" si="31"/>
        <v>1.9899999999999998</v>
      </c>
      <c r="O49" s="14"/>
      <c r="P49" s="1">
        <f>SUM(OSRRefP22_3x_0)</f>
        <v>1.75</v>
      </c>
      <c r="Q49" s="1"/>
      <c r="R49" s="5">
        <f t="shared" si="32"/>
        <v>5.5614054478765061E-6</v>
      </c>
      <c r="S49" s="1"/>
      <c r="T49" s="1">
        <f>SUM(OSRRefT22_3x_0)</f>
        <v>50</v>
      </c>
      <c r="U49" s="1"/>
      <c r="V49" s="5">
        <f t="shared" si="33"/>
        <v>3.5340684195646029E-4</v>
      </c>
      <c r="W49" s="1"/>
      <c r="X49" s="1">
        <f t="shared" si="34"/>
        <v>-48.25</v>
      </c>
      <c r="Y49" s="1"/>
      <c r="Z49" s="5">
        <f t="shared" si="35"/>
        <v>-0.96499999999999997</v>
      </c>
    </row>
    <row r="50" spans="1:26" s="24" customFormat="1" hidden="1" outlineLevel="2" x14ac:dyDescent="0.3">
      <c r="A50" s="29"/>
      <c r="B50" s="11" t="str">
        <f>CONCATENATE("          ", "6272", " - ", "CASH (OVER/SHORT)")</f>
        <v xml:space="preserve">          6272 - CASH (OVER/SHORT)</v>
      </c>
      <c r="C50" s="11"/>
      <c r="D50" s="6">
        <v>29.9</v>
      </c>
      <c r="E50" s="2"/>
      <c r="F50" s="7">
        <f t="shared" si="28"/>
        <v>5.8964880398910231E-4</v>
      </c>
      <c r="G50" s="2"/>
      <c r="H50" s="6">
        <v>10</v>
      </c>
      <c r="I50" s="2"/>
      <c r="J50" s="7">
        <f t="shared" si="29"/>
        <v>4.8904538341158061E-4</v>
      </c>
      <c r="K50" s="2"/>
      <c r="L50" s="6">
        <f t="shared" si="30"/>
        <v>19.899999999999999</v>
      </c>
      <c r="M50" s="2"/>
      <c r="N50" s="7">
        <f t="shared" si="31"/>
        <v>1.9899999999999998</v>
      </c>
      <c r="O50" s="11"/>
      <c r="P50" s="6">
        <v>1.75</v>
      </c>
      <c r="Q50" s="2"/>
      <c r="R50" s="7">
        <f t="shared" si="32"/>
        <v>5.5614054478765061E-6</v>
      </c>
      <c r="S50" s="2"/>
      <c r="T50" s="6">
        <v>50</v>
      </c>
      <c r="U50" s="2"/>
      <c r="V50" s="7">
        <f t="shared" si="33"/>
        <v>3.5340684195646029E-4</v>
      </c>
      <c r="W50" s="2"/>
      <c r="X50" s="6">
        <f t="shared" si="34"/>
        <v>-48.25</v>
      </c>
      <c r="Y50" s="2"/>
      <c r="Z50" s="7">
        <f t="shared" si="35"/>
        <v>-0.96499999999999997</v>
      </c>
    </row>
    <row r="51" spans="1:26" s="28" customFormat="1" outlineLevel="1" collapsed="1" x14ac:dyDescent="0.3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1901.7</v>
      </c>
      <c r="E51" s="1"/>
      <c r="F51" s="5">
        <f t="shared" si="28"/>
        <v>3.7502847175454046E-2</v>
      </c>
      <c r="G51" s="1"/>
      <c r="H51" s="1">
        <f>SUM(OSRRefH22_4x_0)</f>
        <v>1025</v>
      </c>
      <c r="I51" s="1"/>
      <c r="J51" s="5">
        <f t="shared" si="29"/>
        <v>5.0127151799687013E-2</v>
      </c>
      <c r="K51" s="1"/>
      <c r="L51" s="1">
        <f t="shared" si="30"/>
        <v>876.7</v>
      </c>
      <c r="M51" s="1"/>
      <c r="N51" s="5">
        <f t="shared" si="31"/>
        <v>0.8553170731707318</v>
      </c>
      <c r="O51" s="14"/>
      <c r="P51" s="1">
        <f>SUM(OSRRefP22_4x_0)</f>
        <v>11295</v>
      </c>
      <c r="Q51" s="1"/>
      <c r="R51" s="5">
        <f t="shared" si="32"/>
        <v>3.589489973358008E-2</v>
      </c>
      <c r="S51" s="1"/>
      <c r="T51" s="1">
        <f>SUM(OSRRefT22_4x_0)</f>
        <v>7095</v>
      </c>
      <c r="U51" s="1"/>
      <c r="V51" s="5">
        <f t="shared" si="33"/>
        <v>5.014843087362171E-2</v>
      </c>
      <c r="W51" s="1"/>
      <c r="X51" s="1">
        <f t="shared" si="34"/>
        <v>4200</v>
      </c>
      <c r="Y51" s="1"/>
      <c r="Z51" s="5">
        <f t="shared" si="35"/>
        <v>0.59196617336152224</v>
      </c>
    </row>
    <row r="52" spans="1:26" s="24" customFormat="1" hidden="1" outlineLevel="2" x14ac:dyDescent="0.3">
      <c r="A52" s="29"/>
      <c r="B52" s="11" t="str">
        <f>CONCATENATE("          ", "6381", " - ", "BANK/CREDIT CARD FEES")</f>
        <v xml:space="preserve">          6381 - BANK/CREDIT CARD FEES</v>
      </c>
      <c r="C52" s="11"/>
      <c r="D52" s="6">
        <v>1901.7</v>
      </c>
      <c r="E52" s="2"/>
      <c r="F52" s="7">
        <f t="shared" si="28"/>
        <v>3.7502847175454046E-2</v>
      </c>
      <c r="G52" s="2"/>
      <c r="H52" s="6">
        <v>1025</v>
      </c>
      <c r="I52" s="2"/>
      <c r="J52" s="7">
        <f t="shared" si="29"/>
        <v>5.0127151799687013E-2</v>
      </c>
      <c r="K52" s="2"/>
      <c r="L52" s="6">
        <f t="shared" si="30"/>
        <v>876.7</v>
      </c>
      <c r="M52" s="2"/>
      <c r="N52" s="7">
        <f t="shared" si="31"/>
        <v>0.8553170731707318</v>
      </c>
      <c r="O52" s="11"/>
      <c r="P52" s="6">
        <v>11295</v>
      </c>
      <c r="Q52" s="2"/>
      <c r="R52" s="7">
        <f t="shared" si="32"/>
        <v>3.589489973358008E-2</v>
      </c>
      <c r="S52" s="2"/>
      <c r="T52" s="6">
        <v>7095</v>
      </c>
      <c r="U52" s="2"/>
      <c r="V52" s="7">
        <f t="shared" si="33"/>
        <v>5.014843087362171E-2</v>
      </c>
      <c r="W52" s="2"/>
      <c r="X52" s="6">
        <f t="shared" si="34"/>
        <v>4200</v>
      </c>
      <c r="Y52" s="2"/>
      <c r="Z52" s="7">
        <f t="shared" si="35"/>
        <v>0.59196617336152224</v>
      </c>
    </row>
    <row r="53" spans="1:26" s="28" customFormat="1" outlineLevel="1" collapsed="1" x14ac:dyDescent="0.3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14007.34</v>
      </c>
      <c r="E53" s="1"/>
      <c r="F53" s="5">
        <f t="shared" si="28"/>
        <v>0.27623449090530811</v>
      </c>
      <c r="G53" s="1"/>
      <c r="H53" s="1">
        <f>SUM(OSRRefH22_5x_0)</f>
        <v>13902</v>
      </c>
      <c r="I53" s="1"/>
      <c r="J53" s="5">
        <f t="shared" si="29"/>
        <v>0.67987089201877937</v>
      </c>
      <c r="K53" s="1"/>
      <c r="L53" s="1">
        <f t="shared" si="30"/>
        <v>105.34000000000015</v>
      </c>
      <c r="M53" s="1"/>
      <c r="N53" s="5">
        <f t="shared" si="31"/>
        <v>7.577327003308887E-3</v>
      </c>
      <c r="O53" s="14"/>
      <c r="P53" s="1">
        <f>SUM(OSRRefP22_5x_0)</f>
        <v>84044.04</v>
      </c>
      <c r="Q53" s="1"/>
      <c r="R53" s="5">
        <f t="shared" si="32"/>
        <v>0.26708741823860055</v>
      </c>
      <c r="S53" s="1"/>
      <c r="T53" s="1">
        <f>SUM(OSRRefT22_5x_0)</f>
        <v>83412</v>
      </c>
      <c r="U53" s="1"/>
      <c r="V53" s="5">
        <f t="shared" si="33"/>
        <v>0.58956743002544532</v>
      </c>
      <c r="W53" s="1"/>
      <c r="X53" s="1">
        <f t="shared" si="34"/>
        <v>632.0399999999936</v>
      </c>
      <c r="Y53" s="1"/>
      <c r="Z53" s="5">
        <f t="shared" si="35"/>
        <v>7.5773270033087994E-3</v>
      </c>
    </row>
    <row r="54" spans="1:26" s="24" customFormat="1" hidden="1" outlineLevel="2" x14ac:dyDescent="0.3">
      <c r="A54" s="29"/>
      <c r="B54" s="11" t="str">
        <f>CONCATENATE("          ", "6321", " - ", "BUILDING DEPRECIATION")</f>
        <v xml:space="preserve">          6321 - BUILDING DEPRECIATION</v>
      </c>
      <c r="C54" s="11"/>
      <c r="D54" s="6">
        <v>10597.26</v>
      </c>
      <c r="E54" s="2"/>
      <c r="F54" s="7">
        <f t="shared" si="28"/>
        <v>0.20898534062078777</v>
      </c>
      <c r="G54" s="2"/>
      <c r="H54" s="6"/>
      <c r="I54" s="2"/>
      <c r="J54" s="7">
        <f t="shared" si="29"/>
        <v>0</v>
      </c>
      <c r="K54" s="2"/>
      <c r="L54" s="6">
        <f t="shared" si="30"/>
        <v>10597.26</v>
      </c>
      <c r="M54" s="2"/>
      <c r="N54" s="7">
        <f t="shared" si="31"/>
        <v>0</v>
      </c>
      <c r="O54" s="11"/>
      <c r="P54" s="6">
        <v>63583.56</v>
      </c>
      <c r="Q54" s="2"/>
      <c r="R54" s="7">
        <f t="shared" si="32"/>
        <v>0.20206511827393298</v>
      </c>
      <c r="S54" s="2"/>
      <c r="T54" s="6"/>
      <c r="U54" s="2"/>
      <c r="V54" s="7">
        <f t="shared" si="33"/>
        <v>0</v>
      </c>
      <c r="W54" s="2"/>
      <c r="X54" s="6">
        <f t="shared" si="34"/>
        <v>63583.56</v>
      </c>
      <c r="Y54" s="2"/>
      <c r="Z54" s="7">
        <f t="shared" si="35"/>
        <v>0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3410.08</v>
      </c>
      <c r="E55" s="2"/>
      <c r="F55" s="7">
        <f t="shared" si="28"/>
        <v>6.7249150284520331E-2</v>
      </c>
      <c r="G55" s="2"/>
      <c r="H55" s="6">
        <v>13902</v>
      </c>
      <c r="I55" s="2"/>
      <c r="J55" s="7">
        <f t="shared" si="29"/>
        <v>0.67987089201877937</v>
      </c>
      <c r="K55" s="2"/>
      <c r="L55" s="6">
        <f t="shared" si="30"/>
        <v>-10491.92</v>
      </c>
      <c r="M55" s="2"/>
      <c r="N55" s="7">
        <f t="shared" si="31"/>
        <v>-0.75470579772694579</v>
      </c>
      <c r="O55" s="11"/>
      <c r="P55" s="6">
        <v>20460.48</v>
      </c>
      <c r="Q55" s="2"/>
      <c r="R55" s="7">
        <f t="shared" si="32"/>
        <v>6.5022299964667601E-2</v>
      </c>
      <c r="S55" s="2"/>
      <c r="T55" s="6">
        <v>83412</v>
      </c>
      <c r="U55" s="2"/>
      <c r="V55" s="7">
        <f t="shared" si="33"/>
        <v>0.58956743002544532</v>
      </c>
      <c r="W55" s="2"/>
      <c r="X55" s="6">
        <f t="shared" si="34"/>
        <v>-62951.520000000004</v>
      </c>
      <c r="Y55" s="2"/>
      <c r="Z55" s="7">
        <f t="shared" si="35"/>
        <v>-0.75470579772694579</v>
      </c>
    </row>
    <row r="56" spans="1:26" s="28" customFormat="1" outlineLevel="1" collapsed="1" x14ac:dyDescent="0.3">
      <c r="A56" s="27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68" si="36">IF(D$12=0,0,D56/D$12)</f>
        <v>0</v>
      </c>
      <c r="G56" s="1"/>
      <c r="H56" s="1">
        <f>SUM(OSRRefH22_6x_0)</f>
        <v>50</v>
      </c>
      <c r="I56" s="1"/>
      <c r="J56" s="5">
        <f t="shared" ref="J56:J68" si="37">IF(H$12=0,0,H56/H$12)</f>
        <v>2.4452269170579031E-3</v>
      </c>
      <c r="K56" s="1"/>
      <c r="L56" s="1">
        <f t="shared" ref="L56:L68" si="38">+D56-H56</f>
        <v>-50</v>
      </c>
      <c r="M56" s="1"/>
      <c r="N56" s="5">
        <f t="shared" ref="N56:N68" si="39">IF(H56=0,0,L56/H56)</f>
        <v>-1</v>
      </c>
      <c r="O56" s="14"/>
      <c r="P56" s="1">
        <f>SUM(OSRRefP22_6x_0)</f>
        <v>0</v>
      </c>
      <c r="Q56" s="1"/>
      <c r="R56" s="5">
        <f t="shared" ref="R56:R68" si="40">IF(P$12=0,0,P56/P$12)</f>
        <v>0</v>
      </c>
      <c r="S56" s="1"/>
      <c r="T56" s="1">
        <f>SUM(OSRRefT22_6x_0)</f>
        <v>50</v>
      </c>
      <c r="U56" s="1"/>
      <c r="V56" s="5">
        <f t="shared" ref="V56:V68" si="41">IF(T$12=0,0,T56/T$12)</f>
        <v>3.5340684195646029E-4</v>
      </c>
      <c r="W56" s="1"/>
      <c r="X56" s="1">
        <f t="shared" ref="X56:X68" si="42">+P56-T56</f>
        <v>-50</v>
      </c>
      <c r="Y56" s="1"/>
      <c r="Z56" s="5">
        <f t="shared" ref="Z56:Z68" si="43">IF(T56=0,0,X56/T56)</f>
        <v>-1</v>
      </c>
    </row>
    <row r="57" spans="1:26" s="24" customFormat="1" hidden="1" outlineLevel="2" x14ac:dyDescent="0.3">
      <c r="A57" s="29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>
        <v>50</v>
      </c>
      <c r="I57" s="2"/>
      <c r="J57" s="7">
        <f t="shared" si="37"/>
        <v>2.4452269170579031E-3</v>
      </c>
      <c r="K57" s="2"/>
      <c r="L57" s="6">
        <f t="shared" si="38"/>
        <v>-50</v>
      </c>
      <c r="M57" s="2"/>
      <c r="N57" s="7">
        <f t="shared" si="39"/>
        <v>-1</v>
      </c>
      <c r="O57" s="11"/>
      <c r="P57" s="6"/>
      <c r="Q57" s="2"/>
      <c r="R57" s="7">
        <f t="shared" si="40"/>
        <v>0</v>
      </c>
      <c r="S57" s="2"/>
      <c r="T57" s="6">
        <v>50</v>
      </c>
      <c r="U57" s="2"/>
      <c r="V57" s="7">
        <f t="shared" si="41"/>
        <v>3.5340684195646029E-4</v>
      </c>
      <c r="W57" s="2"/>
      <c r="X57" s="6">
        <f t="shared" si="42"/>
        <v>-50</v>
      </c>
      <c r="Y57" s="2"/>
      <c r="Z57" s="7">
        <f t="shared" si="43"/>
        <v>-1</v>
      </c>
    </row>
    <row r="58" spans="1:26" s="28" customFormat="1" outlineLevel="1" collapsed="1" x14ac:dyDescent="0.3">
      <c r="A58" s="27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925.97</v>
      </c>
      <c r="E58" s="1"/>
      <c r="F58" s="5">
        <f t="shared" si="36"/>
        <v>1.8260772676581574E-2</v>
      </c>
      <c r="G58" s="1"/>
      <c r="H58" s="1">
        <f>SUM(OSRRefH22_7x_0)</f>
        <v>275</v>
      </c>
      <c r="I58" s="1"/>
      <c r="J58" s="5">
        <f t="shared" si="37"/>
        <v>1.3448748043818466E-2</v>
      </c>
      <c r="K58" s="1"/>
      <c r="L58" s="1">
        <f t="shared" si="38"/>
        <v>650.97</v>
      </c>
      <c r="M58" s="1"/>
      <c r="N58" s="5">
        <f t="shared" si="39"/>
        <v>2.3671636363636366</v>
      </c>
      <c r="O58" s="14"/>
      <c r="P58" s="1">
        <f>SUM(OSRRefP22_7x_0)</f>
        <v>1784.76</v>
      </c>
      <c r="Q58" s="1"/>
      <c r="R58" s="5">
        <f t="shared" si="40"/>
        <v>5.671870849801185E-3</v>
      </c>
      <c r="S58" s="1"/>
      <c r="T58" s="1">
        <f>SUM(OSRRefT22_7x_0)</f>
        <v>1650</v>
      </c>
      <c r="U58" s="1"/>
      <c r="V58" s="5">
        <f t="shared" si="41"/>
        <v>1.1662425784563189E-2</v>
      </c>
      <c r="W58" s="1"/>
      <c r="X58" s="1">
        <f t="shared" si="42"/>
        <v>134.76</v>
      </c>
      <c r="Y58" s="1"/>
      <c r="Z58" s="5">
        <f t="shared" si="43"/>
        <v>8.1672727272727272E-2</v>
      </c>
    </row>
    <row r="59" spans="1:26" s="24" customFormat="1" hidden="1" outlineLevel="2" x14ac:dyDescent="0.3">
      <c r="A59" s="29"/>
      <c r="B59" s="11" t="str">
        <f>CONCATENATE("          ", "6351", " - ", "EQUIPMENT RENTAL")</f>
        <v xml:space="preserve">          6351 - EQUIPMENT RENTAL</v>
      </c>
      <c r="C59" s="11"/>
      <c r="D59" s="6">
        <v>925.97</v>
      </c>
      <c r="E59" s="2"/>
      <c r="F59" s="7">
        <f t="shared" si="36"/>
        <v>1.8260772676581574E-2</v>
      </c>
      <c r="G59" s="2"/>
      <c r="H59" s="6">
        <v>275</v>
      </c>
      <c r="I59" s="2"/>
      <c r="J59" s="7">
        <f t="shared" si="37"/>
        <v>1.3448748043818466E-2</v>
      </c>
      <c r="K59" s="2"/>
      <c r="L59" s="6">
        <f t="shared" si="38"/>
        <v>650.97</v>
      </c>
      <c r="M59" s="2"/>
      <c r="N59" s="7">
        <f t="shared" si="39"/>
        <v>2.3671636363636366</v>
      </c>
      <c r="O59" s="11"/>
      <c r="P59" s="6">
        <v>1784.76</v>
      </c>
      <c r="Q59" s="2"/>
      <c r="R59" s="7">
        <f t="shared" si="40"/>
        <v>5.671870849801185E-3</v>
      </c>
      <c r="S59" s="2"/>
      <c r="T59" s="6">
        <v>1650</v>
      </c>
      <c r="U59" s="2"/>
      <c r="V59" s="7">
        <f t="shared" si="41"/>
        <v>1.1662425784563189E-2</v>
      </c>
      <c r="W59" s="2"/>
      <c r="X59" s="6">
        <f t="shared" si="42"/>
        <v>134.76</v>
      </c>
      <c r="Y59" s="2"/>
      <c r="Z59" s="7">
        <f t="shared" si="43"/>
        <v>8.1672727272727272E-2</v>
      </c>
    </row>
    <row r="60" spans="1:26" s="28" customFormat="1" outlineLevel="1" collapsed="1" x14ac:dyDescent="0.3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455</v>
      </c>
      <c r="I60" s="1"/>
      <c r="J60" s="5">
        <f t="shared" si="37"/>
        <v>2.2251564945226916E-2</v>
      </c>
      <c r="K60" s="1"/>
      <c r="L60" s="1">
        <f t="shared" si="38"/>
        <v>-455</v>
      </c>
      <c r="M60" s="1"/>
      <c r="N60" s="5">
        <f t="shared" si="39"/>
        <v>-1</v>
      </c>
      <c r="O60" s="14"/>
      <c r="P60" s="1">
        <f>SUM(OSRRefP22_8x_0)</f>
        <v>1520.97</v>
      </c>
      <c r="Q60" s="1"/>
      <c r="R60" s="5">
        <f t="shared" si="40"/>
        <v>4.8335604823181314E-3</v>
      </c>
      <c r="S60" s="1"/>
      <c r="T60" s="1">
        <f>SUM(OSRRefT22_8x_0)</f>
        <v>1790</v>
      </c>
      <c r="U60" s="1"/>
      <c r="V60" s="5">
        <f t="shared" si="41"/>
        <v>1.2651964942041278E-2</v>
      </c>
      <c r="W60" s="1"/>
      <c r="X60" s="1">
        <f t="shared" si="42"/>
        <v>-269.02999999999997</v>
      </c>
      <c r="Y60" s="1"/>
      <c r="Z60" s="5">
        <f t="shared" si="43"/>
        <v>-0.15029608938547484</v>
      </c>
    </row>
    <row r="61" spans="1:26" s="24" customFormat="1" hidden="1" outlineLevel="2" x14ac:dyDescent="0.3">
      <c r="A61" s="29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6"/>
        <v>0</v>
      </c>
      <c r="G61" s="2"/>
      <c r="H61" s="6">
        <v>455</v>
      </c>
      <c r="I61" s="2"/>
      <c r="J61" s="7">
        <f t="shared" si="37"/>
        <v>2.2251564945226916E-2</v>
      </c>
      <c r="K61" s="2"/>
      <c r="L61" s="6">
        <f t="shared" si="38"/>
        <v>-455</v>
      </c>
      <c r="M61" s="2"/>
      <c r="N61" s="7">
        <f t="shared" si="39"/>
        <v>-1</v>
      </c>
      <c r="O61" s="11"/>
      <c r="P61" s="6">
        <v>1520.97</v>
      </c>
      <c r="Q61" s="2"/>
      <c r="R61" s="7">
        <f t="shared" si="40"/>
        <v>4.8335604823181314E-3</v>
      </c>
      <c r="S61" s="2"/>
      <c r="T61" s="6">
        <v>1790</v>
      </c>
      <c r="U61" s="2"/>
      <c r="V61" s="7">
        <f t="shared" si="41"/>
        <v>1.2651964942041278E-2</v>
      </c>
      <c r="W61" s="2"/>
      <c r="X61" s="6">
        <f t="shared" si="42"/>
        <v>-269.02999999999997</v>
      </c>
      <c r="Y61" s="2"/>
      <c r="Z61" s="7">
        <f t="shared" si="43"/>
        <v>-0.15029608938547484</v>
      </c>
    </row>
    <row r="62" spans="1:26" s="28" customFormat="1" outlineLevel="1" collapsed="1" x14ac:dyDescent="0.3">
      <c r="A62" s="27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871.61</v>
      </c>
      <c r="E62" s="1"/>
      <c r="F62" s="5">
        <f t="shared" si="36"/>
        <v>1.7188755653676974E-2</v>
      </c>
      <c r="G62" s="1"/>
      <c r="H62" s="1">
        <f>SUM(OSRRefH22_9x_0)</f>
        <v>850</v>
      </c>
      <c r="I62" s="1"/>
      <c r="J62" s="5">
        <f t="shared" si="37"/>
        <v>4.1568857589984354E-2</v>
      </c>
      <c r="K62" s="1"/>
      <c r="L62" s="1">
        <f t="shared" si="38"/>
        <v>21.610000000000014</v>
      </c>
      <c r="M62" s="1"/>
      <c r="N62" s="5">
        <f t="shared" si="39"/>
        <v>2.5423529411764723E-2</v>
      </c>
      <c r="O62" s="14"/>
      <c r="P62" s="1">
        <f>SUM(OSRRefP22_9x_0)</f>
        <v>5229.66</v>
      </c>
      <c r="Q62" s="1"/>
      <c r="R62" s="5">
        <f t="shared" si="40"/>
        <v>1.6619576922595344E-2</v>
      </c>
      <c r="S62" s="1"/>
      <c r="T62" s="1">
        <f>SUM(OSRRefT22_9x_0)</f>
        <v>5100</v>
      </c>
      <c r="U62" s="1"/>
      <c r="V62" s="5">
        <f t="shared" si="41"/>
        <v>3.6047497879558951E-2</v>
      </c>
      <c r="W62" s="1"/>
      <c r="X62" s="1">
        <f t="shared" si="42"/>
        <v>129.65999999999985</v>
      </c>
      <c r="Y62" s="1"/>
      <c r="Z62" s="5">
        <f t="shared" si="43"/>
        <v>2.5423529411764678E-2</v>
      </c>
    </row>
    <row r="63" spans="1:26" s="24" customFormat="1" hidden="1" outlineLevel="2" x14ac:dyDescent="0.3">
      <c r="A63" s="29"/>
      <c r="B63" s="11" t="str">
        <f>CONCATENATE("          ", "6314", " - ", "LIABILITY INSURANCE")</f>
        <v xml:space="preserve">          6314 - LIABILITY INSURANCE</v>
      </c>
      <c r="C63" s="11"/>
      <c r="D63" s="6">
        <v>871.61</v>
      </c>
      <c r="E63" s="2"/>
      <c r="F63" s="7">
        <f t="shared" si="36"/>
        <v>1.7188755653676974E-2</v>
      </c>
      <c r="G63" s="2"/>
      <c r="H63" s="6">
        <v>850</v>
      </c>
      <c r="I63" s="2"/>
      <c r="J63" s="7">
        <f t="shared" si="37"/>
        <v>4.1568857589984354E-2</v>
      </c>
      <c r="K63" s="2"/>
      <c r="L63" s="6">
        <f t="shared" si="38"/>
        <v>21.610000000000014</v>
      </c>
      <c r="M63" s="2"/>
      <c r="N63" s="7">
        <f t="shared" si="39"/>
        <v>2.5423529411764723E-2</v>
      </c>
      <c r="O63" s="11"/>
      <c r="P63" s="6">
        <v>5229.66</v>
      </c>
      <c r="Q63" s="2"/>
      <c r="R63" s="7">
        <f t="shared" si="40"/>
        <v>1.6619576922595344E-2</v>
      </c>
      <c r="S63" s="2"/>
      <c r="T63" s="6">
        <v>5100</v>
      </c>
      <c r="U63" s="2"/>
      <c r="V63" s="7">
        <f t="shared" si="41"/>
        <v>3.6047497879558951E-2</v>
      </c>
      <c r="W63" s="2"/>
      <c r="X63" s="6">
        <f t="shared" si="42"/>
        <v>129.65999999999985</v>
      </c>
      <c r="Y63" s="2"/>
      <c r="Z63" s="7">
        <f t="shared" si="43"/>
        <v>2.5423529411764678E-2</v>
      </c>
    </row>
    <row r="64" spans="1:26" s="28" customFormat="1" outlineLevel="1" collapsed="1" x14ac:dyDescent="0.3">
      <c r="A64" s="27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SUM(OSRRefD22_10x_0)</f>
        <v>7253</v>
      </c>
      <c r="E64" s="1"/>
      <c r="F64" s="5">
        <f t="shared" si="36"/>
        <v>0.14303420653287488</v>
      </c>
      <c r="G64" s="1"/>
      <c r="H64" s="1">
        <f>SUM(OSRRefH22_10x_0)</f>
        <v>7253</v>
      </c>
      <c r="I64" s="1"/>
      <c r="J64" s="5">
        <f t="shared" si="37"/>
        <v>0.3547046165884194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SUM(OSRRefP22_10x_0)</f>
        <v>43004</v>
      </c>
      <c r="Q64" s="1"/>
      <c r="R64" s="5">
        <f t="shared" si="40"/>
        <v>0.13666438850313217</v>
      </c>
      <c r="S64" s="1"/>
      <c r="T64" s="1">
        <f>SUM(OSRRefT22_10x_0)</f>
        <v>43518</v>
      </c>
      <c r="U64" s="1"/>
      <c r="V64" s="5">
        <f t="shared" si="41"/>
        <v>0.30759117896522475</v>
      </c>
      <c r="W64" s="1"/>
      <c r="X64" s="1">
        <f t="shared" si="42"/>
        <v>-514</v>
      </c>
      <c r="Y64" s="1"/>
      <c r="Z64" s="5">
        <f t="shared" si="43"/>
        <v>-1.1811204559033044E-2</v>
      </c>
    </row>
    <row r="65" spans="1:26" s="24" customFormat="1" hidden="1" outlineLevel="2" x14ac:dyDescent="0.3">
      <c r="A65" s="29"/>
      <c r="B65" s="11" t="str">
        <f>CONCATENATE("          ", "6401", " - ", "INTEREST EXPENSE")</f>
        <v xml:space="preserve">          6401 - INTEREST EXPENSE</v>
      </c>
      <c r="C65" s="11"/>
      <c r="D65" s="6">
        <v>7253</v>
      </c>
      <c r="E65" s="2"/>
      <c r="F65" s="7">
        <f t="shared" si="36"/>
        <v>0.14303420653287488</v>
      </c>
      <c r="G65" s="2"/>
      <c r="H65" s="6">
        <v>7253</v>
      </c>
      <c r="I65" s="2"/>
      <c r="J65" s="7">
        <f t="shared" si="37"/>
        <v>0.3547046165884194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43004</v>
      </c>
      <c r="Q65" s="2"/>
      <c r="R65" s="7">
        <f t="shared" si="40"/>
        <v>0.13666438850313217</v>
      </c>
      <c r="S65" s="2"/>
      <c r="T65" s="6">
        <v>43518</v>
      </c>
      <c r="U65" s="2"/>
      <c r="V65" s="7">
        <f t="shared" si="41"/>
        <v>0.30759117896522475</v>
      </c>
      <c r="W65" s="2"/>
      <c r="X65" s="6">
        <f t="shared" si="42"/>
        <v>-514</v>
      </c>
      <c r="Y65" s="2"/>
      <c r="Z65" s="7">
        <f t="shared" si="43"/>
        <v>-1.1811204559033044E-2</v>
      </c>
    </row>
    <row r="66" spans="1:26" s="28" customFormat="1" outlineLevel="1" collapsed="1" x14ac:dyDescent="0.3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4801</v>
      </c>
      <c r="E66" s="1"/>
      <c r="F66" s="5">
        <f t="shared" si="36"/>
        <v>9.4679060466611384E-2</v>
      </c>
      <c r="G66" s="1"/>
      <c r="H66" s="1">
        <f>SUM(OSRRefH22_11x_0)</f>
        <v>2062</v>
      </c>
      <c r="I66" s="1"/>
      <c r="J66" s="5">
        <f t="shared" si="37"/>
        <v>0.10084115805946792</v>
      </c>
      <c r="K66" s="1"/>
      <c r="L66" s="1">
        <f t="shared" si="38"/>
        <v>2739</v>
      </c>
      <c r="M66" s="1"/>
      <c r="N66" s="5">
        <f t="shared" si="39"/>
        <v>1.328322017458778</v>
      </c>
      <c r="O66" s="14"/>
      <c r="P66" s="1">
        <f>SUM(OSRRefP22_11x_0)</f>
        <v>21239.66</v>
      </c>
      <c r="Q66" s="1"/>
      <c r="R66" s="5">
        <f t="shared" si="40"/>
        <v>6.7498491905739838E-2</v>
      </c>
      <c r="S66" s="1"/>
      <c r="T66" s="1">
        <f>SUM(OSRRefT22_11x_0)</f>
        <v>6489</v>
      </c>
      <c r="U66" s="1"/>
      <c r="V66" s="5">
        <f t="shared" si="41"/>
        <v>4.5865139949109415E-2</v>
      </c>
      <c r="W66" s="1"/>
      <c r="X66" s="1">
        <f t="shared" si="42"/>
        <v>14750.66</v>
      </c>
      <c r="Y66" s="1"/>
      <c r="Z66" s="5">
        <f t="shared" si="43"/>
        <v>2.2731792263831099</v>
      </c>
    </row>
    <row r="67" spans="1:26" s="24" customFormat="1" hidden="1" outlineLevel="2" x14ac:dyDescent="0.3">
      <c r="A67" s="29"/>
      <c r="B67" s="11" t="str">
        <f>CONCATENATE("          ", "6373", " - ", "MAINTENANCE CONTRACTS")</f>
        <v xml:space="preserve">          6373 - MAINTENANCE CONTRACTS</v>
      </c>
      <c r="C67" s="11"/>
      <c r="D67" s="6">
        <v>1109.3399999999999</v>
      </c>
      <c r="E67" s="2"/>
      <c r="F67" s="7">
        <f t="shared" si="36"/>
        <v>2.1876956662784976E-2</v>
      </c>
      <c r="G67" s="2"/>
      <c r="H67" s="6">
        <v>1125</v>
      </c>
      <c r="I67" s="2"/>
      <c r="J67" s="7">
        <f t="shared" si="37"/>
        <v>5.501760563380282E-2</v>
      </c>
      <c r="K67" s="2"/>
      <c r="L67" s="6">
        <f t="shared" si="38"/>
        <v>-15.660000000000082</v>
      </c>
      <c r="M67" s="2"/>
      <c r="N67" s="7">
        <f t="shared" si="39"/>
        <v>-1.3920000000000073E-2</v>
      </c>
      <c r="O67" s="11"/>
      <c r="P67" s="6">
        <v>2648.48</v>
      </c>
      <c r="Q67" s="2"/>
      <c r="R67" s="7">
        <f t="shared" si="40"/>
        <v>8.4167263431954107E-3</v>
      </c>
      <c r="S67" s="2"/>
      <c r="T67" s="6">
        <v>2285</v>
      </c>
      <c r="U67" s="2"/>
      <c r="V67" s="7">
        <f t="shared" si="41"/>
        <v>1.6150692677410233E-2</v>
      </c>
      <c r="W67" s="2"/>
      <c r="X67" s="6">
        <f t="shared" si="42"/>
        <v>363.48</v>
      </c>
      <c r="Y67" s="2"/>
      <c r="Z67" s="7">
        <f t="shared" si="43"/>
        <v>0.15907221006564551</v>
      </c>
    </row>
    <row r="68" spans="1:26" s="24" customFormat="1" hidden="1" outlineLevel="2" x14ac:dyDescent="0.3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3691.66</v>
      </c>
      <c r="E68" s="2"/>
      <c r="F68" s="7">
        <f t="shared" si="36"/>
        <v>7.2802103803826401E-2</v>
      </c>
      <c r="G68" s="2"/>
      <c r="H68" s="6">
        <v>937</v>
      </c>
      <c r="I68" s="2"/>
      <c r="J68" s="7">
        <f t="shared" si="37"/>
        <v>4.5823552425665104E-2</v>
      </c>
      <c r="K68" s="2"/>
      <c r="L68" s="6">
        <f t="shared" si="38"/>
        <v>2754.66</v>
      </c>
      <c r="M68" s="2"/>
      <c r="N68" s="7">
        <f t="shared" si="39"/>
        <v>2.9398719316969046</v>
      </c>
      <c r="O68" s="11"/>
      <c r="P68" s="6">
        <v>18591.18</v>
      </c>
      <c r="Q68" s="2"/>
      <c r="R68" s="7">
        <f t="shared" si="40"/>
        <v>5.9081765562544429E-2</v>
      </c>
      <c r="S68" s="2"/>
      <c r="T68" s="6">
        <v>4204</v>
      </c>
      <c r="U68" s="2"/>
      <c r="V68" s="7">
        <f t="shared" si="41"/>
        <v>2.9714447271699179E-2</v>
      </c>
      <c r="W68" s="2"/>
      <c r="X68" s="6">
        <f t="shared" si="42"/>
        <v>14387.18</v>
      </c>
      <c r="Y68" s="2"/>
      <c r="Z68" s="7">
        <f t="shared" si="43"/>
        <v>3.4222597526165557</v>
      </c>
    </row>
    <row r="69" spans="1:26" s="28" customFormat="1" outlineLevel="1" collapsed="1" x14ac:dyDescent="0.3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670.75</v>
      </c>
      <c r="E69" s="1"/>
      <c r="F69" s="5">
        <f t="shared" ref="F69:F73" si="44">IF(D$12=0,0,D69/D$12)</f>
        <v>1.3227656698183625E-2</v>
      </c>
      <c r="G69" s="1"/>
      <c r="H69" s="1">
        <f>SUM(OSRRefH22_12x_0)</f>
        <v>4857</v>
      </c>
      <c r="I69" s="1"/>
      <c r="J69" s="5">
        <f t="shared" ref="J69:J73" si="45">IF(H$12=0,0,H69/H$12)</f>
        <v>0.23752934272300469</v>
      </c>
      <c r="K69" s="1"/>
      <c r="L69" s="1">
        <f t="shared" ref="L69:L73" si="46">+D69-H69</f>
        <v>-4186.25</v>
      </c>
      <c r="M69" s="1"/>
      <c r="N69" s="5">
        <f t="shared" ref="N69:N73" si="47">IF(H69=0,0,L69/H69)</f>
        <v>-0.86190035001029441</v>
      </c>
      <c r="O69" s="14"/>
      <c r="P69" s="1">
        <f>SUM(OSRRefP22_12x_0)</f>
        <v>29110.84</v>
      </c>
      <c r="Q69" s="1"/>
      <c r="R69" s="5">
        <f t="shared" ref="R69:R73" si="48">IF(P$12=0,0,P69/P$12)</f>
        <v>9.2512676667577898E-2</v>
      </c>
      <c r="S69" s="1"/>
      <c r="T69" s="1">
        <f>SUM(OSRRefT22_12x_0)</f>
        <v>29386</v>
      </c>
      <c r="U69" s="1"/>
      <c r="V69" s="5">
        <f t="shared" ref="V69:V73" si="49">IF(T$12=0,0,T69/T$12)</f>
        <v>0.20770426915465084</v>
      </c>
      <c r="W69" s="1"/>
      <c r="X69" s="1">
        <f t="shared" ref="X69:X73" si="50">+P69-T69</f>
        <v>-275.15999999999985</v>
      </c>
      <c r="Y69" s="1"/>
      <c r="Z69" s="5">
        <f t="shared" ref="Z69:Z73" si="51">IF(T69=0,0,X69/T69)</f>
        <v>-9.3636425508745614E-3</v>
      </c>
    </row>
    <row r="70" spans="1:26" s="24" customFormat="1" hidden="1" outlineLevel="2" x14ac:dyDescent="0.3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351.55</v>
      </c>
      <c r="E70" s="2"/>
      <c r="F70" s="7">
        <f t="shared" si="44"/>
        <v>6.9328106034237096E-3</v>
      </c>
      <c r="G70" s="2"/>
      <c r="H70" s="6">
        <v>328</v>
      </c>
      <c r="I70" s="2"/>
      <c r="J70" s="7">
        <f t="shared" si="45"/>
        <v>1.6040688575899843E-2</v>
      </c>
      <c r="K70" s="2"/>
      <c r="L70" s="6">
        <f t="shared" si="46"/>
        <v>23.550000000000011</v>
      </c>
      <c r="M70" s="2"/>
      <c r="N70" s="7">
        <f t="shared" si="47"/>
        <v>7.1798780487804914E-2</v>
      </c>
      <c r="O70" s="11"/>
      <c r="P70" s="6">
        <v>2109.3000000000002</v>
      </c>
      <c r="Q70" s="2"/>
      <c r="R70" s="7">
        <f t="shared" si="48"/>
        <v>6.7032414349748092E-3</v>
      </c>
      <c r="S70" s="2"/>
      <c r="T70" s="6">
        <v>1968</v>
      </c>
      <c r="U70" s="2"/>
      <c r="V70" s="7">
        <f t="shared" si="49"/>
        <v>1.3910093299406276E-2</v>
      </c>
      <c r="W70" s="2"/>
      <c r="X70" s="6">
        <f t="shared" si="50"/>
        <v>141.30000000000018</v>
      </c>
      <c r="Y70" s="2"/>
      <c r="Z70" s="7">
        <f t="shared" si="51"/>
        <v>7.179878048780497E-2</v>
      </c>
    </row>
    <row r="71" spans="1:26" s="24" customFormat="1" hidden="1" outlineLevel="2" x14ac:dyDescent="0.3">
      <c r="A71" s="29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44"/>
        <v>0</v>
      </c>
      <c r="G71" s="2"/>
      <c r="H71" s="6">
        <v>1000</v>
      </c>
      <c r="I71" s="2"/>
      <c r="J71" s="7">
        <f t="shared" si="45"/>
        <v>4.8904538341158058E-2</v>
      </c>
      <c r="K71" s="2"/>
      <c r="L71" s="6">
        <f t="shared" si="46"/>
        <v>-1000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6000</v>
      </c>
      <c r="U71" s="2"/>
      <c r="V71" s="7">
        <f t="shared" si="49"/>
        <v>4.2408821034775231E-2</v>
      </c>
      <c r="W71" s="2"/>
      <c r="X71" s="6">
        <f t="shared" si="50"/>
        <v>-6000</v>
      </c>
      <c r="Y71" s="2"/>
      <c r="Z71" s="7">
        <f t="shared" si="51"/>
        <v>-1</v>
      </c>
    </row>
    <row r="72" spans="1:26" s="24" customFormat="1" hidden="1" outlineLevel="2" x14ac:dyDescent="0.3">
      <c r="A72" s="29"/>
      <c r="B72" s="11" t="str">
        <f>CONCATENATE("          ", "6285", " - ", "JANITORIAL SERVICES")</f>
        <v xml:space="preserve">          6285 - JANITORIAL SERVICES</v>
      </c>
      <c r="C72" s="11"/>
      <c r="D72" s="6"/>
      <c r="E72" s="2"/>
      <c r="F72" s="7">
        <f t="shared" si="44"/>
        <v>0</v>
      </c>
      <c r="G72" s="2"/>
      <c r="H72" s="6">
        <v>3041</v>
      </c>
      <c r="I72" s="2"/>
      <c r="J72" s="7">
        <f t="shared" si="45"/>
        <v>0.14871870109546165</v>
      </c>
      <c r="K72" s="2"/>
      <c r="L72" s="6">
        <f t="shared" si="46"/>
        <v>-3041</v>
      </c>
      <c r="M72" s="2"/>
      <c r="N72" s="7">
        <f t="shared" si="47"/>
        <v>-1</v>
      </c>
      <c r="O72" s="11"/>
      <c r="P72" s="6">
        <v>25353.48</v>
      </c>
      <c r="Q72" s="2"/>
      <c r="R72" s="7">
        <f t="shared" si="48"/>
        <v>8.0571989596930307E-2</v>
      </c>
      <c r="S72" s="2"/>
      <c r="T72" s="6">
        <v>18246</v>
      </c>
      <c r="U72" s="2"/>
      <c r="V72" s="7">
        <f t="shared" si="49"/>
        <v>0.12896522476675149</v>
      </c>
      <c r="W72" s="2"/>
      <c r="X72" s="6">
        <f t="shared" si="50"/>
        <v>7107.48</v>
      </c>
      <c r="Y72" s="2"/>
      <c r="Z72" s="7">
        <f t="shared" si="51"/>
        <v>0.38953633673133836</v>
      </c>
    </row>
    <row r="73" spans="1:26" s="24" customFormat="1" hidden="1" outlineLevel="2" x14ac:dyDescent="0.3">
      <c r="A73" s="29"/>
      <c r="B73" s="11" t="str">
        <f>CONCATENATE("          ", "6286", " - ", "LAUNDRY EXPENSE")</f>
        <v xml:space="preserve">          6286 - LAUNDRY EXPENSE</v>
      </c>
      <c r="C73" s="11"/>
      <c r="D73" s="6">
        <v>319.2</v>
      </c>
      <c r="E73" s="2"/>
      <c r="F73" s="7">
        <f t="shared" si="44"/>
        <v>6.294846094759915E-3</v>
      </c>
      <c r="G73" s="2"/>
      <c r="H73" s="6">
        <v>488</v>
      </c>
      <c r="I73" s="2"/>
      <c r="J73" s="7">
        <f t="shared" si="45"/>
        <v>2.3865414710485134E-2</v>
      </c>
      <c r="K73" s="2"/>
      <c r="L73" s="6">
        <f t="shared" si="46"/>
        <v>-168.8</v>
      </c>
      <c r="M73" s="2"/>
      <c r="N73" s="7">
        <f t="shared" si="47"/>
        <v>-0.34590163934426232</v>
      </c>
      <c r="O73" s="11"/>
      <c r="P73" s="6">
        <v>1648.06</v>
      </c>
      <c r="Q73" s="2"/>
      <c r="R73" s="7">
        <f t="shared" si="48"/>
        <v>5.2374456356727743E-3</v>
      </c>
      <c r="S73" s="2"/>
      <c r="T73" s="6">
        <v>3172</v>
      </c>
      <c r="U73" s="2"/>
      <c r="V73" s="7">
        <f t="shared" si="49"/>
        <v>2.2420130053717839E-2</v>
      </c>
      <c r="W73" s="2"/>
      <c r="X73" s="6">
        <f t="shared" si="50"/>
        <v>-1523.94</v>
      </c>
      <c r="Y73" s="2"/>
      <c r="Z73" s="7">
        <f t="shared" si="51"/>
        <v>-0.4804350567465322</v>
      </c>
    </row>
    <row r="74" spans="1:26" s="28" customFormat="1" outlineLevel="1" collapsed="1" x14ac:dyDescent="0.3">
      <c r="A74" s="27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SUM(OSRRefD22_13x_0)</f>
        <v>802.63</v>
      </c>
      <c r="E74" s="1"/>
      <c r="F74" s="5">
        <f t="shared" ref="F74:F82" si="52">IF(D$12=0,0,D74/D$12)</f>
        <v>1.5828422058387064E-2</v>
      </c>
      <c r="G74" s="1"/>
      <c r="H74" s="1">
        <f>SUM(OSRRefH22_13x_0)</f>
        <v>380</v>
      </c>
      <c r="I74" s="1"/>
      <c r="J74" s="5">
        <f t="shared" ref="J74:J82" si="53">IF(H$12=0,0,H74/H$12)</f>
        <v>1.8583724569640064E-2</v>
      </c>
      <c r="K74" s="1"/>
      <c r="L74" s="1">
        <f t="shared" ref="L74:L82" si="54">+D74-H74</f>
        <v>422.63</v>
      </c>
      <c r="M74" s="1"/>
      <c r="N74" s="5">
        <f t="shared" ref="N74:N82" si="55">IF(H74=0,0,L74/H74)</f>
        <v>1.1121842105263158</v>
      </c>
      <c r="O74" s="14"/>
      <c r="P74" s="1">
        <f>SUM(OSRRefP22_13x_0)</f>
        <v>2510.52</v>
      </c>
      <c r="Q74" s="1"/>
      <c r="R74" s="5">
        <f t="shared" ref="R74:R82" si="56">IF(P$12=0,0,P74/P$12)</f>
        <v>7.9782969171445298E-3</v>
      </c>
      <c r="S74" s="1"/>
      <c r="T74" s="1">
        <f>SUM(OSRRefT22_13x_0)</f>
        <v>2280</v>
      </c>
      <c r="U74" s="1"/>
      <c r="V74" s="5">
        <f t="shared" ref="V74:V82" si="57">IF(T$12=0,0,T74/T$12)</f>
        <v>1.6115351993214587E-2</v>
      </c>
      <c r="W74" s="1"/>
      <c r="X74" s="1">
        <f t="shared" ref="X74:X82" si="58">+P74-T74</f>
        <v>230.51999999999998</v>
      </c>
      <c r="Y74" s="1"/>
      <c r="Z74" s="5">
        <f t="shared" ref="Z74:Z82" si="59">IF(T74=0,0,X74/T74)</f>
        <v>0.10110526315789473</v>
      </c>
    </row>
    <row r="75" spans="1:26" s="24" customFormat="1" hidden="1" outlineLevel="2" x14ac:dyDescent="0.3">
      <c r="A75" s="29"/>
      <c r="B75" s="11" t="str">
        <f>CONCATENATE("          ", "6275", " - ", "SUBSCRIPTIONS")</f>
        <v xml:space="preserve">          6275 - SUBSCRIPTIONS</v>
      </c>
      <c r="C75" s="11"/>
      <c r="D75" s="6">
        <v>802.63</v>
      </c>
      <c r="E75" s="2"/>
      <c r="F75" s="7">
        <f t="shared" si="52"/>
        <v>1.5828422058387064E-2</v>
      </c>
      <c r="G75" s="2"/>
      <c r="H75" s="6">
        <v>380</v>
      </c>
      <c r="I75" s="2"/>
      <c r="J75" s="7">
        <f t="shared" si="53"/>
        <v>1.8583724569640064E-2</v>
      </c>
      <c r="K75" s="2"/>
      <c r="L75" s="6">
        <f t="shared" si="54"/>
        <v>422.63</v>
      </c>
      <c r="M75" s="2"/>
      <c r="N75" s="7">
        <f t="shared" si="55"/>
        <v>1.1121842105263158</v>
      </c>
      <c r="O75" s="11"/>
      <c r="P75" s="6">
        <v>2510.52</v>
      </c>
      <c r="Q75" s="2"/>
      <c r="R75" s="7">
        <f t="shared" si="56"/>
        <v>7.9782969171445298E-3</v>
      </c>
      <c r="S75" s="2"/>
      <c r="T75" s="6">
        <v>2280</v>
      </c>
      <c r="U75" s="2"/>
      <c r="V75" s="7">
        <f t="shared" si="57"/>
        <v>1.6115351993214587E-2</v>
      </c>
      <c r="W75" s="2"/>
      <c r="X75" s="6">
        <f t="shared" si="58"/>
        <v>230.51999999999998</v>
      </c>
      <c r="Y75" s="2"/>
      <c r="Z75" s="7">
        <f t="shared" si="59"/>
        <v>0.10110526315789473</v>
      </c>
    </row>
    <row r="76" spans="1:26" s="28" customFormat="1" outlineLevel="1" collapsed="1" x14ac:dyDescent="0.3">
      <c r="A76" s="27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SUM(OSRRefD22_14x_0)</f>
        <v>913.6</v>
      </c>
      <c r="E76" s="1"/>
      <c r="F76" s="5">
        <f t="shared" si="52"/>
        <v>1.8016827669713843E-2</v>
      </c>
      <c r="G76" s="1"/>
      <c r="H76" s="1">
        <f>SUM(OSRRefH22_14x_0)</f>
        <v>200</v>
      </c>
      <c r="I76" s="1"/>
      <c r="J76" s="5">
        <f t="shared" si="53"/>
        <v>9.7809076682316125E-3</v>
      </c>
      <c r="K76" s="1"/>
      <c r="L76" s="1">
        <f t="shared" si="54"/>
        <v>713.6</v>
      </c>
      <c r="M76" s="1"/>
      <c r="N76" s="5">
        <f t="shared" si="55"/>
        <v>3.5680000000000001</v>
      </c>
      <c r="O76" s="14"/>
      <c r="P76" s="1">
        <f>SUM(OSRRefP22_14x_0)</f>
        <v>10070.91</v>
      </c>
      <c r="Q76" s="1"/>
      <c r="R76" s="5">
        <f t="shared" si="56"/>
        <v>3.2004807850899424E-2</v>
      </c>
      <c r="S76" s="1"/>
      <c r="T76" s="1">
        <f>SUM(OSRRefT22_14x_0)</f>
        <v>7973</v>
      </c>
      <c r="U76" s="1"/>
      <c r="V76" s="5">
        <f t="shared" si="57"/>
        <v>5.6354255018377153E-2</v>
      </c>
      <c r="W76" s="1"/>
      <c r="X76" s="1">
        <f t="shared" si="58"/>
        <v>2097.91</v>
      </c>
      <c r="Y76" s="1"/>
      <c r="Z76" s="5">
        <f t="shared" si="59"/>
        <v>0.26312680295998997</v>
      </c>
    </row>
    <row r="77" spans="1:26" s="24" customFormat="1" hidden="1" outlineLevel="2" x14ac:dyDescent="0.3">
      <c r="A77" s="29"/>
      <c r="B77" s="11" t="str">
        <f>CONCATENATE("          ", "6237", " - ", "JANITORIAL SUPPLIES")</f>
        <v xml:space="preserve">          6237 - JANITORIAL SUPPLIES</v>
      </c>
      <c r="C77" s="11"/>
      <c r="D77" s="6">
        <v>815.51</v>
      </c>
      <c r="E77" s="2"/>
      <c r="F77" s="7">
        <f t="shared" si="52"/>
        <v>1.6082424620105448E-2</v>
      </c>
      <c r="G77" s="2"/>
      <c r="H77" s="6"/>
      <c r="I77" s="2"/>
      <c r="J77" s="7">
        <f t="shared" si="53"/>
        <v>0</v>
      </c>
      <c r="K77" s="2"/>
      <c r="L77" s="6">
        <f t="shared" si="54"/>
        <v>815.51</v>
      </c>
      <c r="M77" s="2"/>
      <c r="N77" s="7">
        <f t="shared" si="55"/>
        <v>0</v>
      </c>
      <c r="O77" s="11"/>
      <c r="P77" s="6">
        <v>5002.7299999999996</v>
      </c>
      <c r="Q77" s="2"/>
      <c r="R77" s="7">
        <f t="shared" si="56"/>
        <v>1.589840564357442E-2</v>
      </c>
      <c r="S77" s="2"/>
      <c r="T77" s="6">
        <v>1503</v>
      </c>
      <c r="U77" s="2"/>
      <c r="V77" s="7">
        <f t="shared" si="57"/>
        <v>1.0623409669211195E-2</v>
      </c>
      <c r="W77" s="2"/>
      <c r="X77" s="6">
        <f t="shared" si="58"/>
        <v>3499.7299999999996</v>
      </c>
      <c r="Y77" s="2"/>
      <c r="Z77" s="7">
        <f t="shared" si="59"/>
        <v>2.3284963406520292</v>
      </c>
    </row>
    <row r="78" spans="1:26" s="24" customFormat="1" hidden="1" outlineLevel="2" x14ac:dyDescent="0.3">
      <c r="A78" s="29"/>
      <c r="B78" s="11" t="str">
        <f>CONCATENATE("          ", "6239", " - ", "KITCHEN SUPPLIES")</f>
        <v xml:space="preserve">          6239 - KITCHEN SUPPLIES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1339.38</v>
      </c>
      <c r="Q78" s="2"/>
      <c r="R78" s="7">
        <f t="shared" si="56"/>
        <v>4.2564772735867633E-3</v>
      </c>
      <c r="S78" s="2"/>
      <c r="T78" s="6">
        <v>149</v>
      </c>
      <c r="U78" s="2"/>
      <c r="V78" s="7">
        <f t="shared" si="57"/>
        <v>1.0531523890302517E-3</v>
      </c>
      <c r="W78" s="2"/>
      <c r="X78" s="6">
        <f t="shared" si="58"/>
        <v>1190.3800000000001</v>
      </c>
      <c r="Y78" s="2"/>
      <c r="Z78" s="7">
        <f t="shared" si="59"/>
        <v>7.9891275167785238</v>
      </c>
    </row>
    <row r="79" spans="1:26" s="24" customFormat="1" hidden="1" outlineLevel="2" x14ac:dyDescent="0.3">
      <c r="A79" s="29"/>
      <c r="B79" s="11" t="str">
        <f>CONCATENATE("          ", "6241", " - ", "OFFICE EXPENSE")</f>
        <v xml:space="preserve">          6241 - OFFICE EXPENSE</v>
      </c>
      <c r="C79" s="11"/>
      <c r="D79" s="6">
        <v>98.09</v>
      </c>
      <c r="E79" s="2"/>
      <c r="F79" s="7">
        <f t="shared" si="52"/>
        <v>1.9344030496083963E-3</v>
      </c>
      <c r="G79" s="2"/>
      <c r="H79" s="6"/>
      <c r="I79" s="2"/>
      <c r="J79" s="7">
        <f t="shared" si="53"/>
        <v>0</v>
      </c>
      <c r="K79" s="2"/>
      <c r="L79" s="6">
        <f t="shared" si="54"/>
        <v>98.09</v>
      </c>
      <c r="M79" s="2"/>
      <c r="N79" s="7">
        <f t="shared" si="55"/>
        <v>0</v>
      </c>
      <c r="O79" s="11"/>
      <c r="P79" s="6">
        <v>3242.57</v>
      </c>
      <c r="Q79" s="2"/>
      <c r="R79" s="7">
        <f t="shared" si="56"/>
        <v>1.0304712264640529E-2</v>
      </c>
      <c r="S79" s="2"/>
      <c r="T79" s="6">
        <v>2827</v>
      </c>
      <c r="U79" s="2"/>
      <c r="V79" s="7">
        <f t="shared" si="57"/>
        <v>1.9981622844218266E-2</v>
      </c>
      <c r="W79" s="2"/>
      <c r="X79" s="6">
        <f t="shared" si="58"/>
        <v>415.57000000000016</v>
      </c>
      <c r="Y79" s="2"/>
      <c r="Z79" s="7">
        <f t="shared" si="59"/>
        <v>0.14700035373187129</v>
      </c>
    </row>
    <row r="80" spans="1:26" s="24" customFormat="1" hidden="1" outlineLevel="2" x14ac:dyDescent="0.3">
      <c r="A80" s="29"/>
      <c r="B80" s="11" t="str">
        <f>CONCATENATE("          ", "6243", " - ", "PAPER SUPPLIES")</f>
        <v xml:space="preserve">          6243 - PAPER SUPPLIES</v>
      </c>
      <c r="C80" s="11"/>
      <c r="D80" s="6"/>
      <c r="E80" s="2"/>
      <c r="F80" s="7">
        <f t="shared" si="52"/>
        <v>0</v>
      </c>
      <c r="G80" s="2"/>
      <c r="H80" s="6">
        <v>200</v>
      </c>
      <c r="I80" s="2"/>
      <c r="J80" s="7">
        <f t="shared" si="53"/>
        <v>9.7809076682316125E-3</v>
      </c>
      <c r="K80" s="2"/>
      <c r="L80" s="6">
        <f t="shared" si="54"/>
        <v>-200</v>
      </c>
      <c r="M80" s="2"/>
      <c r="N80" s="7">
        <f t="shared" si="55"/>
        <v>-1</v>
      </c>
      <c r="O80" s="11"/>
      <c r="P80" s="6">
        <v>486.23</v>
      </c>
      <c r="Q80" s="2"/>
      <c r="R80" s="7">
        <f t="shared" si="56"/>
        <v>1.5452126690977108E-3</v>
      </c>
      <c r="S80" s="2"/>
      <c r="T80" s="6">
        <v>2083</v>
      </c>
      <c r="U80" s="2"/>
      <c r="V80" s="7">
        <f t="shared" si="57"/>
        <v>1.4722929035906135E-2</v>
      </c>
      <c r="W80" s="2"/>
      <c r="X80" s="6">
        <f t="shared" si="58"/>
        <v>-1596.77</v>
      </c>
      <c r="Y80" s="2"/>
      <c r="Z80" s="7">
        <f t="shared" si="59"/>
        <v>-0.76657225156024966</v>
      </c>
    </row>
    <row r="81" spans="1:26" s="24" customFormat="1" hidden="1" outlineLevel="2" x14ac:dyDescent="0.3">
      <c r="A81" s="29"/>
      <c r="B81" s="11" t="str">
        <f>CONCATENATE("          ", "6247", " - ", "STORE SUPPLIES")</f>
        <v xml:space="preserve">          6247 - STORE SUPPLIES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/>
      <c r="Q81" s="2"/>
      <c r="R81" s="7">
        <f t="shared" si="56"/>
        <v>0</v>
      </c>
      <c r="S81" s="2"/>
      <c r="T81" s="6">
        <v>411</v>
      </c>
      <c r="U81" s="2"/>
      <c r="V81" s="7">
        <f t="shared" si="57"/>
        <v>2.9050042408821034E-3</v>
      </c>
      <c r="W81" s="2"/>
      <c r="X81" s="6">
        <f t="shared" si="58"/>
        <v>-411</v>
      </c>
      <c r="Y81" s="2"/>
      <c r="Z81" s="7">
        <f t="shared" si="59"/>
        <v>-1</v>
      </c>
    </row>
    <row r="82" spans="1:26" s="24" customFormat="1" hidden="1" outlineLevel="2" x14ac:dyDescent="0.3">
      <c r="A82" s="29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1000</v>
      </c>
      <c r="U82" s="2"/>
      <c r="V82" s="7">
        <f t="shared" si="57"/>
        <v>7.0681368391292054E-3</v>
      </c>
      <c r="W82" s="2"/>
      <c r="X82" s="6">
        <f t="shared" si="58"/>
        <v>-1000</v>
      </c>
      <c r="Y82" s="2"/>
      <c r="Z82" s="7">
        <f t="shared" si="59"/>
        <v>-1</v>
      </c>
    </row>
    <row r="83" spans="1:26" s="28" customFormat="1" outlineLevel="1" collapsed="1" x14ac:dyDescent="0.3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SUM(OSRRefD22_15x_0)</f>
        <v>105.15</v>
      </c>
      <c r="E83" s="1"/>
      <c r="F83" s="5">
        <f t="shared" ref="F83:F85" si="60">IF(D$12=0,0,D83/D$12)</f>
        <v>2.0736311618546528E-3</v>
      </c>
      <c r="G83" s="1"/>
      <c r="H83" s="1">
        <f>SUM(OSRRefH22_15x_0)</f>
        <v>135</v>
      </c>
      <c r="I83" s="1"/>
      <c r="J83" s="5">
        <f t="shared" ref="J83:J85" si="61">IF(H$12=0,0,H83/H$12)</f>
        <v>6.6021126760563379E-3</v>
      </c>
      <c r="K83" s="1"/>
      <c r="L83" s="1">
        <f t="shared" ref="L83:L85" si="62">+D83-H83</f>
        <v>-29.849999999999994</v>
      </c>
      <c r="M83" s="1"/>
      <c r="N83" s="5">
        <f t="shared" ref="N83:N85" si="63">IF(H83=0,0,L83/H83)</f>
        <v>-0.22111111111111106</v>
      </c>
      <c r="O83" s="14"/>
      <c r="P83" s="1">
        <f>SUM(OSRRefP22_15x_0)</f>
        <v>1556.93</v>
      </c>
      <c r="Q83" s="1"/>
      <c r="R83" s="5">
        <f t="shared" ref="R83:R85" si="64">IF(P$12=0,0,P83/P$12)</f>
        <v>4.947839419407068E-3</v>
      </c>
      <c r="S83" s="1"/>
      <c r="T83" s="1">
        <f>SUM(OSRRefT22_15x_0)</f>
        <v>810</v>
      </c>
      <c r="U83" s="1"/>
      <c r="V83" s="5">
        <f t="shared" ref="V83:V85" si="65">IF(T$12=0,0,T83/T$12)</f>
        <v>5.7251908396946565E-3</v>
      </c>
      <c r="W83" s="1"/>
      <c r="X83" s="1">
        <f t="shared" ref="X83:X85" si="66">+P83-T83</f>
        <v>746.93000000000006</v>
      </c>
      <c r="Y83" s="1"/>
      <c r="Z83" s="5">
        <f t="shared" ref="Z83:Z85" si="67">IF(T83=0,0,X83/T83)</f>
        <v>0.92213580246913585</v>
      </c>
    </row>
    <row r="84" spans="1:26" s="24" customFormat="1" hidden="1" outlineLevel="2" x14ac:dyDescent="0.3">
      <c r="A84" s="29"/>
      <c r="B84" s="11" t="str">
        <f>CONCATENATE("          ", "6303", " - ", "DATA PHONE LINES")</f>
        <v xml:space="preserve">          6303 - DATA PHONE LINES</v>
      </c>
      <c r="C84" s="11"/>
      <c r="D84" s="6"/>
      <c r="E84" s="2"/>
      <c r="F84" s="7">
        <f t="shared" si="60"/>
        <v>0</v>
      </c>
      <c r="G84" s="2"/>
      <c r="H84" s="6">
        <v>60</v>
      </c>
      <c r="I84" s="2"/>
      <c r="J84" s="7">
        <f t="shared" si="61"/>
        <v>2.9342723004694834E-3</v>
      </c>
      <c r="K84" s="2"/>
      <c r="L84" s="6">
        <f t="shared" si="62"/>
        <v>-60</v>
      </c>
      <c r="M84" s="2"/>
      <c r="N84" s="7">
        <f t="shared" si="63"/>
        <v>-1</v>
      </c>
      <c r="O84" s="11"/>
      <c r="P84" s="6"/>
      <c r="Q84" s="2"/>
      <c r="R84" s="7">
        <f t="shared" si="64"/>
        <v>0</v>
      </c>
      <c r="S84" s="2"/>
      <c r="T84" s="6">
        <v>360</v>
      </c>
      <c r="U84" s="2"/>
      <c r="V84" s="7">
        <f t="shared" si="65"/>
        <v>2.5445292620865142E-3</v>
      </c>
      <c r="W84" s="2"/>
      <c r="X84" s="6">
        <f t="shared" si="66"/>
        <v>-360</v>
      </c>
      <c r="Y84" s="2"/>
      <c r="Z84" s="7">
        <f t="shared" si="67"/>
        <v>-1</v>
      </c>
    </row>
    <row r="85" spans="1:26" s="24" customFormat="1" hidden="1" outlineLevel="2" x14ac:dyDescent="0.3">
      <c r="A85" s="29"/>
      <c r="B85" s="11" t="str">
        <f>CONCATENATE("          ", "6309", " - ", "TELEPHONE")</f>
        <v xml:space="preserve">          6309 - TELEPHONE</v>
      </c>
      <c r="C85" s="11"/>
      <c r="D85" s="6">
        <v>105.15</v>
      </c>
      <c r="E85" s="2"/>
      <c r="F85" s="7">
        <f t="shared" si="60"/>
        <v>2.0736311618546528E-3</v>
      </c>
      <c r="G85" s="2"/>
      <c r="H85" s="6">
        <v>75</v>
      </c>
      <c r="I85" s="2"/>
      <c r="J85" s="7">
        <f t="shared" si="61"/>
        <v>3.6678403755868545E-3</v>
      </c>
      <c r="K85" s="2"/>
      <c r="L85" s="6">
        <f t="shared" si="62"/>
        <v>30.150000000000006</v>
      </c>
      <c r="M85" s="2"/>
      <c r="N85" s="7">
        <f t="shared" si="63"/>
        <v>0.40200000000000008</v>
      </c>
      <c r="O85" s="11"/>
      <c r="P85" s="6">
        <v>1556.93</v>
      </c>
      <c r="Q85" s="2"/>
      <c r="R85" s="7">
        <f t="shared" si="64"/>
        <v>4.947839419407068E-3</v>
      </c>
      <c r="S85" s="2"/>
      <c r="T85" s="6">
        <v>450</v>
      </c>
      <c r="U85" s="2"/>
      <c r="V85" s="7">
        <f t="shared" si="65"/>
        <v>3.1806615776081423E-3</v>
      </c>
      <c r="W85" s="2"/>
      <c r="X85" s="6">
        <f t="shared" si="66"/>
        <v>1106.93</v>
      </c>
      <c r="Y85" s="2"/>
      <c r="Z85" s="7">
        <f t="shared" si="67"/>
        <v>2.4598444444444447</v>
      </c>
    </row>
    <row r="86" spans="1:26" s="28" customFormat="1" outlineLevel="1" collapsed="1" x14ac:dyDescent="0.3">
      <c r="A86" s="27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SUM(OSRRefD22_16x_0)</f>
        <v>0</v>
      </c>
      <c r="E86" s="1"/>
      <c r="F86" s="5">
        <f t="shared" ref="F86:F89" si="68">IF(D$12=0,0,D86/D$12)</f>
        <v>0</v>
      </c>
      <c r="G86" s="1"/>
      <c r="H86" s="1">
        <f>SUM(OSRRefH22_16x_0)</f>
        <v>0</v>
      </c>
      <c r="I86" s="1"/>
      <c r="J86" s="5">
        <f t="shared" ref="J86:J89" si="69">IF(H$12=0,0,H86/H$12)</f>
        <v>0</v>
      </c>
      <c r="K86" s="1"/>
      <c r="L86" s="1">
        <f t="shared" ref="L86:L89" si="70">+D86-H86</f>
        <v>0</v>
      </c>
      <c r="M86" s="1"/>
      <c r="N86" s="5">
        <f t="shared" ref="N86:N89" si="71">IF(H86=0,0,L86/H86)</f>
        <v>0</v>
      </c>
      <c r="O86" s="14"/>
      <c r="P86" s="1">
        <f>SUM(OSRRefP22_16x_0)</f>
        <v>0</v>
      </c>
      <c r="Q86" s="1"/>
      <c r="R86" s="5">
        <f t="shared" ref="R86:R89" si="72">IF(P$12=0,0,P86/P$12)</f>
        <v>0</v>
      </c>
      <c r="S86" s="1"/>
      <c r="T86" s="1">
        <f>SUM(OSRRefT22_16x_0)</f>
        <v>400</v>
      </c>
      <c r="U86" s="1"/>
      <c r="V86" s="5">
        <f t="shared" ref="V86:V89" si="73">IF(T$12=0,0,T86/T$12)</f>
        <v>2.8272547356516823E-3</v>
      </c>
      <c r="W86" s="1"/>
      <c r="X86" s="1">
        <f t="shared" ref="X86:X89" si="74">+P86-T86</f>
        <v>-400</v>
      </c>
      <c r="Y86" s="1"/>
      <c r="Z86" s="5">
        <f t="shared" ref="Z86:Z89" si="75">IF(T86=0,0,X86/T86)</f>
        <v>-1</v>
      </c>
    </row>
    <row r="87" spans="1:26" s="24" customFormat="1" hidden="1" outlineLevel="2" x14ac:dyDescent="0.3">
      <c r="A87" s="29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68"/>
        <v>0</v>
      </c>
      <c r="G87" s="2"/>
      <c r="H87" s="6"/>
      <c r="I87" s="2"/>
      <c r="J87" s="7">
        <f t="shared" si="69"/>
        <v>0</v>
      </c>
      <c r="K87" s="2"/>
      <c r="L87" s="6">
        <f t="shared" si="70"/>
        <v>0</v>
      </c>
      <c r="M87" s="2"/>
      <c r="N87" s="7">
        <f t="shared" si="71"/>
        <v>0</v>
      </c>
      <c r="O87" s="11"/>
      <c r="P87" s="6"/>
      <c r="Q87" s="2"/>
      <c r="R87" s="7">
        <f t="shared" si="72"/>
        <v>0</v>
      </c>
      <c r="S87" s="2"/>
      <c r="T87" s="6">
        <v>400</v>
      </c>
      <c r="U87" s="2"/>
      <c r="V87" s="7">
        <f t="shared" si="73"/>
        <v>2.8272547356516823E-3</v>
      </c>
      <c r="W87" s="2"/>
      <c r="X87" s="6">
        <f t="shared" si="74"/>
        <v>-400</v>
      </c>
      <c r="Y87" s="2"/>
      <c r="Z87" s="7">
        <f t="shared" si="75"/>
        <v>-1</v>
      </c>
    </row>
    <row r="88" spans="1:26" s="28" customFormat="1" outlineLevel="1" collapsed="1" x14ac:dyDescent="0.3">
      <c r="A88" s="27"/>
      <c r="B88" s="14" t="str">
        <f>CONCATENATE("     ","Utilities                                         ")</f>
        <v xml:space="preserve">     Utilities                                         </v>
      </c>
      <c r="C88" s="14"/>
      <c r="D88" s="1">
        <f>SUM(OSRRefD22_17x_0)</f>
        <v>2400</v>
      </c>
      <c r="E88" s="1"/>
      <c r="F88" s="5">
        <f t="shared" si="68"/>
        <v>4.7329669885412894E-2</v>
      </c>
      <c r="G88" s="1"/>
      <c r="H88" s="1">
        <f>SUM(OSRRefH22_17x_0)</f>
        <v>2417</v>
      </c>
      <c r="I88" s="1"/>
      <c r="J88" s="5">
        <f t="shared" si="69"/>
        <v>0.11820226917057904</v>
      </c>
      <c r="K88" s="1"/>
      <c r="L88" s="1">
        <f t="shared" si="70"/>
        <v>-17</v>
      </c>
      <c r="M88" s="1"/>
      <c r="N88" s="5">
        <f t="shared" si="71"/>
        <v>-7.0335126189491103E-3</v>
      </c>
      <c r="O88" s="14"/>
      <c r="P88" s="1">
        <f>SUM(OSRRefP22_17x_0)</f>
        <v>12000</v>
      </c>
      <c r="Q88" s="1"/>
      <c r="R88" s="5">
        <f t="shared" si="72"/>
        <v>3.8135351642581757E-2</v>
      </c>
      <c r="S88" s="1"/>
      <c r="T88" s="1">
        <f>SUM(OSRRefT22_17x_0)</f>
        <v>14502</v>
      </c>
      <c r="U88" s="1"/>
      <c r="V88" s="5">
        <f t="shared" si="73"/>
        <v>0.10250212044105174</v>
      </c>
      <c r="W88" s="1"/>
      <c r="X88" s="1">
        <f t="shared" si="74"/>
        <v>-2502</v>
      </c>
      <c r="Y88" s="1"/>
      <c r="Z88" s="5">
        <f t="shared" si="75"/>
        <v>-0.1725279271824576</v>
      </c>
    </row>
    <row r="89" spans="1:26" s="24" customFormat="1" hidden="1" outlineLevel="2" x14ac:dyDescent="0.3">
      <c r="A89" s="29"/>
      <c r="B89" s="11" t="str">
        <f>CONCATENATE("          ", "6274", " - ", "UTILITIES")</f>
        <v xml:space="preserve">          6274 - UTILITIES</v>
      </c>
      <c r="C89" s="11"/>
      <c r="D89" s="6">
        <v>2400</v>
      </c>
      <c r="E89" s="2"/>
      <c r="F89" s="7">
        <f t="shared" si="68"/>
        <v>4.7329669885412894E-2</v>
      </c>
      <c r="G89" s="2"/>
      <c r="H89" s="6">
        <v>2417</v>
      </c>
      <c r="I89" s="2"/>
      <c r="J89" s="7">
        <f t="shared" si="69"/>
        <v>0.11820226917057904</v>
      </c>
      <c r="K89" s="2"/>
      <c r="L89" s="6">
        <f t="shared" si="70"/>
        <v>-17</v>
      </c>
      <c r="M89" s="2"/>
      <c r="N89" s="7">
        <f t="shared" si="71"/>
        <v>-7.0335126189491103E-3</v>
      </c>
      <c r="O89" s="11"/>
      <c r="P89" s="6">
        <v>12000</v>
      </c>
      <c r="Q89" s="2"/>
      <c r="R89" s="7">
        <f t="shared" si="72"/>
        <v>3.8135351642581757E-2</v>
      </c>
      <c r="S89" s="2"/>
      <c r="T89" s="6">
        <v>14502</v>
      </c>
      <c r="U89" s="2"/>
      <c r="V89" s="7">
        <f t="shared" si="73"/>
        <v>0.10250212044105174</v>
      </c>
      <c r="W89" s="2"/>
      <c r="X89" s="6">
        <f t="shared" si="74"/>
        <v>-2502</v>
      </c>
      <c r="Y89" s="2"/>
      <c r="Z89" s="7">
        <f t="shared" si="75"/>
        <v>-0.1725279271824576</v>
      </c>
    </row>
    <row r="90" spans="1:26" s="55" customFormat="1" x14ac:dyDescent="0.3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3">
      <c r="A91" s="10"/>
      <c r="B91" s="25" t="s">
        <v>293</v>
      </c>
      <c r="C91" s="10"/>
      <c r="D91" s="4">
        <f>SUM(OSRRefD25x_0)</f>
        <v>0</v>
      </c>
      <c r="E91" s="4"/>
      <c r="F91" s="12">
        <f t="shared" ref="F91:F92" si="76">IF(D$12=0,0,D91/D$12)</f>
        <v>0</v>
      </c>
      <c r="G91" s="4"/>
      <c r="H91" s="4">
        <f>SUM(OSRRefH25x_0)</f>
        <v>0</v>
      </c>
      <c r="I91" s="4"/>
      <c r="J91" s="12">
        <f t="shared" ref="J91:J92" si="77">IF(H$12=0,0,H91/H$12)</f>
        <v>0</v>
      </c>
      <c r="K91" s="4"/>
      <c r="L91" s="4">
        <f t="shared" ref="L91:L92" si="78">+D91-H91</f>
        <v>0</v>
      </c>
      <c r="M91" s="4"/>
      <c r="N91" s="12">
        <f t="shared" ref="N91:N92" si="79">IF(H91=0,0,L91/H91)</f>
        <v>0</v>
      </c>
      <c r="O91" s="10"/>
      <c r="P91" s="4">
        <f>SUM(OSRRefP25x_0)</f>
        <v>2.33</v>
      </c>
      <c r="Q91" s="4"/>
      <c r="R91" s="12">
        <f t="shared" ref="R91:R92" si="80">IF(P$12=0,0,P91/P$12)</f>
        <v>7.4046141106012917E-6</v>
      </c>
      <c r="S91" s="4"/>
      <c r="T91" s="4">
        <f>SUM(OSRRefT25x_0)</f>
        <v>0</v>
      </c>
      <c r="U91" s="4"/>
      <c r="V91" s="12">
        <f t="shared" ref="V91:V92" si="81">IF(T$12=0,0,T91/T$12)</f>
        <v>0</v>
      </c>
      <c r="W91" s="4"/>
      <c r="X91" s="4">
        <f t="shared" ref="X91:X92" si="82">+P91-T91</f>
        <v>2.33</v>
      </c>
      <c r="Y91" s="4"/>
      <c r="Z91" s="12">
        <f t="shared" ref="Z91:Z92" si="83">IF(T91=0,0,X91/T91)</f>
        <v>0</v>
      </c>
    </row>
    <row r="92" spans="1:26" s="24" customFormat="1" hidden="1" outlineLevel="1" x14ac:dyDescent="0.3">
      <c r="A92" s="44"/>
      <c r="B92" s="11" t="str">
        <f>CONCATENATE("          ", "9150", " - ", "MISC. INCOME")</f>
        <v xml:space="preserve">          9150 - MISC. INCOME</v>
      </c>
      <c r="C92" s="11"/>
      <c r="D92" s="2">
        <f>0</f>
        <v>0</v>
      </c>
      <c r="E92" s="2"/>
      <c r="F92" s="19">
        <f t="shared" si="76"/>
        <v>0</v>
      </c>
      <c r="G92" s="2"/>
      <c r="H92" s="2"/>
      <c r="I92" s="2"/>
      <c r="J92" s="19">
        <f t="shared" si="77"/>
        <v>0</v>
      </c>
      <c r="K92" s="2"/>
      <c r="L92" s="2">
        <f t="shared" si="78"/>
        <v>0</v>
      </c>
      <c r="M92" s="2"/>
      <c r="N92" s="19">
        <f t="shared" si="79"/>
        <v>0</v>
      </c>
      <c r="O92" s="11"/>
      <c r="P92" s="2">
        <f>--2.33</f>
        <v>2.33</v>
      </c>
      <c r="Q92" s="2"/>
      <c r="R92" s="19">
        <f t="shared" si="80"/>
        <v>7.4046141106012917E-6</v>
      </c>
      <c r="S92" s="2"/>
      <c r="T92" s="2"/>
      <c r="U92" s="2"/>
      <c r="V92" s="19">
        <f t="shared" si="81"/>
        <v>0</v>
      </c>
      <c r="W92" s="2"/>
      <c r="X92" s="2">
        <f t="shared" si="82"/>
        <v>2.33</v>
      </c>
      <c r="Y92" s="2"/>
      <c r="Z92" s="19">
        <f t="shared" si="83"/>
        <v>0</v>
      </c>
    </row>
    <row r="93" spans="1:26" x14ac:dyDescent="0.3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">
      <c r="A94" s="10"/>
      <c r="B94" s="26" t="s">
        <v>277</v>
      </c>
      <c r="C94" s="26"/>
      <c r="D94" s="20">
        <f>+D23-D25+D91</f>
        <v>-45938.509999999987</v>
      </c>
      <c r="E94" s="13"/>
      <c r="F94" s="22">
        <f>IF(D$12=0,0,D94/D$12)</f>
        <v>-0.90593938055322443</v>
      </c>
      <c r="G94" s="13"/>
      <c r="H94" s="20">
        <f>+H23-H25+H91</f>
        <v>-36985.036291291231</v>
      </c>
      <c r="I94" s="13"/>
      <c r="J94" s="22">
        <f>IF(H$12=0,0,H94/H$12)</f>
        <v>-1.8087361253565744</v>
      </c>
      <c r="K94" s="16"/>
      <c r="L94" s="20">
        <f>+D94-H94</f>
        <v>-8953.473708708756</v>
      </c>
      <c r="M94" s="16"/>
      <c r="N94" s="22">
        <f>IF(H94=0,0,L94/H94)</f>
        <v>0.24208368049694212</v>
      </c>
      <c r="O94" s="25"/>
      <c r="P94" s="20">
        <f>+P23-P25+P91</f>
        <v>-253469.74999999991</v>
      </c>
      <c r="Q94" s="13"/>
      <c r="R94" s="22">
        <f>IF(P$12=0,0,P94/P$12)</f>
        <v>-0.80551317058394034</v>
      </c>
      <c r="S94" s="13"/>
      <c r="T94" s="20">
        <f>+T23-T25+T91</f>
        <v>-238686.32757389708</v>
      </c>
      <c r="U94" s="13"/>
      <c r="V94" s="22">
        <f>IF(T$12=0,0,T94/T$12)</f>
        <v>-1.6870676249215231</v>
      </c>
      <c r="W94" s="16"/>
      <c r="X94" s="20">
        <f>+P94-T94</f>
        <v>-14783.422426102828</v>
      </c>
      <c r="Y94" s="16"/>
      <c r="Z94" s="22">
        <f>IF(T94=0,0,X94/T94)</f>
        <v>6.1936611855263862E-2</v>
      </c>
    </row>
    <row r="95" spans="1:26" x14ac:dyDescent="0.3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3">
      <c r="A96" s="52"/>
      <c r="B96" s="10" t="s">
        <v>128</v>
      </c>
      <c r="C96" s="10"/>
      <c r="D96" s="4">
        <v>6436.12</v>
      </c>
      <c r="E96" s="4"/>
      <c r="F96" s="12">
        <f>IF(D$12=0,0,D96/D$12)</f>
        <v>0.12692476455954319</v>
      </c>
      <c r="G96" s="4"/>
      <c r="H96" s="4">
        <v>3187</v>
      </c>
      <c r="I96" s="4"/>
      <c r="J96" s="12">
        <f>IF(H$12=0,0,H96/H$12)</f>
        <v>0.15585876369327073</v>
      </c>
      <c r="K96" s="4"/>
      <c r="L96" s="4">
        <f>+D96-H96</f>
        <v>3249.12</v>
      </c>
      <c r="M96" s="4"/>
      <c r="N96" s="12">
        <f>IF(H96=0,0,L96/H96)</f>
        <v>1.0194916849701914</v>
      </c>
      <c r="O96" s="10"/>
      <c r="P96" s="4">
        <v>37876.92</v>
      </c>
      <c r="Q96" s="4"/>
      <c r="R96" s="12">
        <f>IF(P$12=0,0,P96/P$12)</f>
        <v>0.12037080527816148</v>
      </c>
      <c r="S96" s="4"/>
      <c r="T96" s="4">
        <v>18318</v>
      </c>
      <c r="U96" s="4"/>
      <c r="V96" s="12">
        <f>IF(T$12=0,0,T96/T$12)</f>
        <v>0.12947413061916879</v>
      </c>
      <c r="W96" s="4"/>
      <c r="X96" s="4">
        <f>+P96-T96</f>
        <v>19558.919999999998</v>
      </c>
      <c r="Y96" s="4"/>
      <c r="Z96" s="12">
        <f>IF(T96=0,0,X96/T96)</f>
        <v>1.0677432034064853</v>
      </c>
    </row>
    <row r="97" spans="1:26" x14ac:dyDescent="0.3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35">
      <c r="A98" s="10"/>
      <c r="B98" s="26" t="s">
        <v>126</v>
      </c>
      <c r="C98" s="26"/>
      <c r="D98" s="31">
        <f>+D94-D96</f>
        <v>-52374.62999999999</v>
      </c>
      <c r="E98" s="13"/>
      <c r="F98" s="30">
        <f>IF(D$12=0,0,D98/D$12)</f>
        <v>-1.0328641451127676</v>
      </c>
      <c r="G98" s="13"/>
      <c r="H98" s="31">
        <f>+H94-H96</f>
        <v>-40172.036291291231</v>
      </c>
      <c r="I98" s="13"/>
      <c r="J98" s="30">
        <f>IF(H$12=0,0,H98/H$12)</f>
        <v>-1.964594889049845</v>
      </c>
      <c r="K98" s="16"/>
      <c r="L98" s="31">
        <f>D98-H98</f>
        <v>-12202.593708708759</v>
      </c>
      <c r="M98" s="16"/>
      <c r="N98" s="30">
        <f>IF(H98=0,0,L98/H98)</f>
        <v>0.30375840597739678</v>
      </c>
      <c r="O98" s="25"/>
      <c r="P98" s="31">
        <f>+P94-P96</f>
        <v>-291346.66999999993</v>
      </c>
      <c r="Q98" s="13"/>
      <c r="R98" s="30">
        <f>IF(P$12=0,0,P98/P$12)</f>
        <v>-0.92588397586210192</v>
      </c>
      <c r="S98" s="13"/>
      <c r="T98" s="31">
        <f>+T94-T96</f>
        <v>-257004.32757389708</v>
      </c>
      <c r="U98" s="13"/>
      <c r="V98" s="30">
        <f>IF(T$12=0,0,T98/T$12)</f>
        <v>-1.8165417555406917</v>
      </c>
      <c r="W98" s="16"/>
      <c r="X98" s="31">
        <f>P98-T98</f>
        <v>-34342.342426102841</v>
      </c>
      <c r="Y98" s="16"/>
      <c r="Z98" s="30">
        <f>IF(T98=0,0,X98/T98)</f>
        <v>0.13362554144629454</v>
      </c>
    </row>
    <row r="99" spans="1:26" ht="15" thickTop="1" x14ac:dyDescent="0.3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3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" thickBot="1" x14ac:dyDescent="0.35">
      <c r="A101" s="10"/>
      <c r="B101" s="26" t="s">
        <v>294</v>
      </c>
      <c r="C101" s="26"/>
      <c r="D101" s="35">
        <f>SUM(D98:D100)</f>
        <v>-52374.62999999999</v>
      </c>
      <c r="E101" s="13"/>
      <c r="F101" s="34">
        <f>IF(D$12=0,0,D101/D$12)</f>
        <v>-1.0328641451127676</v>
      </c>
      <c r="G101" s="13"/>
      <c r="H101" s="35">
        <f>SUM(H98:H100)</f>
        <v>-40172.036291291231</v>
      </c>
      <c r="I101" s="13"/>
      <c r="J101" s="34">
        <f>IF(H$12=0,0,H101/H$12)</f>
        <v>-1.964594889049845</v>
      </c>
      <c r="K101" s="16"/>
      <c r="L101" s="35">
        <f>+D101-H101</f>
        <v>-12202.593708708759</v>
      </c>
      <c r="M101" s="16"/>
      <c r="N101" s="34">
        <f>IF(H101=0,0,L101/H101)</f>
        <v>0.30375840597739678</v>
      </c>
      <c r="O101" s="25"/>
      <c r="P101" s="35">
        <f>SUM(P98:P100)</f>
        <v>-291346.66999999993</v>
      </c>
      <c r="Q101" s="13"/>
      <c r="R101" s="34">
        <f>IF(P$12=0,0,P101/P$12)</f>
        <v>-0.92588397586210192</v>
      </c>
      <c r="S101" s="13"/>
      <c r="T101" s="35">
        <f>SUM(T98:T100)</f>
        <v>-257004.32757389708</v>
      </c>
      <c r="U101" s="13"/>
      <c r="V101" s="34">
        <f>IF(T$12=0,0,T101/T$12)</f>
        <v>-1.8165417555406917</v>
      </c>
      <c r="W101" s="16"/>
      <c r="X101" s="35">
        <f>+P101-T101</f>
        <v>-34342.342426102841</v>
      </c>
      <c r="Y101" s="16"/>
      <c r="Z101" s="34">
        <f>IF(T101=0,0,X101/T101)</f>
        <v>0.13362554144629454</v>
      </c>
    </row>
    <row r="102" spans="1:26" ht="15" thickTop="1" x14ac:dyDescent="0.3">
      <c r="A102" s="9"/>
      <c r="C102" s="9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3">
      <c r="A103" s="9"/>
      <c r="B103" s="61">
        <v>44575.842125659721</v>
      </c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3">
      <c r="A104" s="9"/>
      <c r="B104" s="62" t="s">
        <v>56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3">
      <c r="A105" s="9"/>
      <c r="B105" s="53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3"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","418", " - ", "Nugget")</f>
        <v>Department 418 - Nugget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36196</v>
      </c>
      <c r="I12" s="4"/>
      <c r="J12" s="12"/>
      <c r="K12" s="4"/>
      <c r="L12" s="4">
        <f t="shared" ref="L12:L14" si="0">+D12-H12</f>
        <v>-36196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221206</v>
      </c>
      <c r="U12" s="4"/>
      <c r="V12" s="12"/>
      <c r="W12" s="4"/>
      <c r="X12" s="4">
        <f t="shared" ref="X12:X14" si="2">+P12-T12</f>
        <v>-221206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12922</v>
      </c>
      <c r="I13" s="2"/>
      <c r="J13" s="19"/>
      <c r="K13" s="2"/>
      <c r="L13" s="2">
        <f t="shared" si="0"/>
        <v>-12922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78970</v>
      </c>
      <c r="U13" s="2"/>
      <c r="V13" s="19"/>
      <c r="W13" s="2"/>
      <c r="X13" s="2">
        <f t="shared" si="2"/>
        <v>-78970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23274</v>
      </c>
      <c r="I14" s="2"/>
      <c r="J14" s="19"/>
      <c r="K14" s="2"/>
      <c r="L14" s="2">
        <f t="shared" si="0"/>
        <v>-23274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142236</v>
      </c>
      <c r="U14" s="2"/>
      <c r="V14" s="19"/>
      <c r="W14" s="2"/>
      <c r="X14" s="2">
        <f t="shared" si="2"/>
        <v>-142236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223.3</v>
      </c>
      <c r="E16" s="4"/>
      <c r="F16" s="12">
        <f t="shared" ref="F16:F18" si="6">IF(D$12=0,0,D16/D$12)</f>
        <v>0</v>
      </c>
      <c r="G16" s="4"/>
      <c r="H16" s="4">
        <f>SUM(OSRRefH16x_0)</f>
        <v>11945</v>
      </c>
      <c r="I16" s="4"/>
      <c r="J16" s="12">
        <f t="shared" ref="J16:J18" si="7">IF(H$12=0,0,H16/H$12)</f>
        <v>0.3300088407558846</v>
      </c>
      <c r="K16" s="4"/>
      <c r="L16" s="4">
        <f t="shared" ref="L16:L18" si="8">+D16-H16</f>
        <v>-11721.7</v>
      </c>
      <c r="M16" s="4"/>
      <c r="N16" s="12">
        <f t="shared" ref="N16:N18" si="9">IF(H16=0,0,L16/H16)</f>
        <v>-0.98130598576810391</v>
      </c>
      <c r="O16" s="10"/>
      <c r="P16" s="4">
        <f>SUM(OSRRefP16x_0)</f>
        <v>1349.42</v>
      </c>
      <c r="Q16" s="4"/>
      <c r="R16" s="12">
        <f t="shared" ref="R16:R18" si="10">IF(P$12=0,0,P16/P$12)</f>
        <v>0</v>
      </c>
      <c r="S16" s="4"/>
      <c r="T16" s="4">
        <f>SUM(OSRRefT16x_0)</f>
        <v>74326</v>
      </c>
      <c r="U16" s="4"/>
      <c r="V16" s="12">
        <f t="shared" ref="V16:V18" si="11">IF(T$12=0,0,T16/T$12)</f>
        <v>0.33600354420766165</v>
      </c>
      <c r="W16" s="4"/>
      <c r="X16" s="4">
        <f t="shared" ref="X16:X18" si="12">+P16-T16</f>
        <v>-72976.58</v>
      </c>
      <c r="Y16" s="4"/>
      <c r="Z16" s="12">
        <f t="shared" ref="Z16:Z18" si="13">IF(T16=0,0,X16/T16)</f>
        <v>-0.98184457659500046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11945</v>
      </c>
      <c r="I17" s="2"/>
      <c r="J17" s="19">
        <f t="shared" si="7"/>
        <v>0.3300088407558846</v>
      </c>
      <c r="K17" s="2"/>
      <c r="L17" s="2">
        <f t="shared" si="8"/>
        <v>-11945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74326</v>
      </c>
      <c r="U17" s="2"/>
      <c r="V17" s="19">
        <f t="shared" si="11"/>
        <v>0.33600354420766165</v>
      </c>
      <c r="W17" s="2"/>
      <c r="X17" s="2">
        <f t="shared" si="12"/>
        <v>-74326</v>
      </c>
      <c r="Y17" s="2"/>
      <c r="Z17" s="19">
        <f t="shared" si="13"/>
        <v>-1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223.3</v>
      </c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223.3</v>
      </c>
      <c r="M18" s="2"/>
      <c r="N18" s="19">
        <f t="shared" si="9"/>
        <v>0</v>
      </c>
      <c r="O18" s="11"/>
      <c r="P18" s="2">
        <v>1349.42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1349.42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108</v>
      </c>
      <c r="C20" s="26"/>
      <c r="D20" s="20">
        <f>D12-D16</f>
        <v>-223.3</v>
      </c>
      <c r="E20" s="13"/>
      <c r="F20" s="22">
        <f>IF(D$12=0,0,D20/D$12)</f>
        <v>0</v>
      </c>
      <c r="G20" s="13"/>
      <c r="H20" s="20">
        <f>H12-H16</f>
        <v>24251</v>
      </c>
      <c r="I20" s="13"/>
      <c r="J20" s="22">
        <f>IF(H$12=0,0,H20/H$12)</f>
        <v>0.66999115924411534</v>
      </c>
      <c r="K20" s="16"/>
      <c r="L20" s="20">
        <f>+D20-H20</f>
        <v>-24474.3</v>
      </c>
      <c r="M20" s="16"/>
      <c r="N20" s="22">
        <f>IF(H20=0,0,L20/H20)</f>
        <v>-1.009207867716795</v>
      </c>
      <c r="O20" s="25"/>
      <c r="P20" s="20">
        <f>P12-P16</f>
        <v>-1349.42</v>
      </c>
      <c r="Q20" s="13"/>
      <c r="R20" s="22">
        <f>IF(P$12=0,0,P20/P$12)</f>
        <v>0</v>
      </c>
      <c r="S20" s="13"/>
      <c r="T20" s="20">
        <f>T12-T16</f>
        <v>146880</v>
      </c>
      <c r="U20" s="13"/>
      <c r="V20" s="22">
        <f>IF(T$12=0,0,T20/T$12)</f>
        <v>0.66399645579233835</v>
      </c>
      <c r="W20" s="16"/>
      <c r="X20" s="20">
        <f>+P20-T20</f>
        <v>-148229.42000000001</v>
      </c>
      <c r="Y20" s="16"/>
      <c r="Z20" s="22">
        <f>IF(T20=0,0,X20/T20)</f>
        <v>-1.0091872276688454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1">
        <f>SUM(OSRRefD22x_0)</f>
        <v>17424.939999999999</v>
      </c>
      <c r="E22" s="21"/>
      <c r="F22" s="32">
        <f t="shared" ref="F22:F32" si="14">IF(D$12=0,0,D22/D$12)</f>
        <v>0</v>
      </c>
      <c r="G22" s="21"/>
      <c r="H22" s="21">
        <f>SUM(OSRRefH22x_0)</f>
        <v>32834.998436153852</v>
      </c>
      <c r="I22" s="21"/>
      <c r="J22" s="32">
        <f t="shared" ref="J22:J32" si="15">IF(H$12=0,0,H22/H$12)</f>
        <v>0.90714439264432123</v>
      </c>
      <c r="K22" s="4"/>
      <c r="L22" s="21">
        <f t="shared" ref="L22:L32" si="16">+D22-H22</f>
        <v>-15410.058436153853</v>
      </c>
      <c r="M22" s="4"/>
      <c r="N22" s="32">
        <f t="shared" ref="N22:N32" si="17">IF(H22=0,0,L22/H22)</f>
        <v>-0.46931808040490713</v>
      </c>
      <c r="O22" s="10"/>
      <c r="P22" s="21">
        <f>SUM(OSRRefP22x_0)</f>
        <v>102264.45</v>
      </c>
      <c r="Q22" s="21"/>
      <c r="R22" s="32">
        <f t="shared" ref="R22:R32" si="18">IF(P$12=0,0,P22/P$12)</f>
        <v>0</v>
      </c>
      <c r="S22" s="21"/>
      <c r="T22" s="21">
        <f>SUM(OSRRefT22x_0)</f>
        <v>227373.03239769232</v>
      </c>
      <c r="U22" s="21"/>
      <c r="V22" s="32">
        <f t="shared" ref="V22:V32" si="19">IF(T$12=0,0,T22/T$12)</f>
        <v>1.0278791370834983</v>
      </c>
      <c r="W22" s="4"/>
      <c r="X22" s="21">
        <f t="shared" ref="X22:X32" si="20">+P22-T22</f>
        <v>-125108.58239769233</v>
      </c>
      <c r="Y22" s="4"/>
      <c r="Z22" s="32">
        <f t="shared" ref="Z22:Z32" si="21">IF(T22=0,0,X22/T22)</f>
        <v>-0.55023492046703293</v>
      </c>
    </row>
    <row r="23" spans="1:26" s="28" customFormat="1" outlineLevel="1" collapsed="1" x14ac:dyDescent="0.3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1745.8</v>
      </c>
      <c r="E23" s="1"/>
      <c r="F23" s="5">
        <f t="shared" si="14"/>
        <v>0</v>
      </c>
      <c r="G23" s="1"/>
      <c r="H23" s="1">
        <f>SUM(OSRRefH22_0x_0)</f>
        <v>6601.8284361538499</v>
      </c>
      <c r="I23" s="1"/>
      <c r="J23" s="5">
        <f t="shared" si="15"/>
        <v>0.18239110498822661</v>
      </c>
      <c r="K23" s="1"/>
      <c r="L23" s="1">
        <f t="shared" si="16"/>
        <v>-4856.0284361538497</v>
      </c>
      <c r="M23" s="1"/>
      <c r="N23" s="5">
        <f t="shared" si="17"/>
        <v>-0.7355581083508006</v>
      </c>
      <c r="O23" s="14"/>
      <c r="P23" s="1">
        <f>SUM(OSRRefP22_0x_0)</f>
        <v>16959.97</v>
      </c>
      <c r="Q23" s="1"/>
      <c r="R23" s="5">
        <f t="shared" si="18"/>
        <v>0</v>
      </c>
      <c r="S23" s="1"/>
      <c r="T23" s="1">
        <f>SUM(OSRRefT22_0x_0)</f>
        <v>47806.582397692298</v>
      </c>
      <c r="U23" s="1"/>
      <c r="V23" s="5">
        <f t="shared" si="19"/>
        <v>0.21611792807470095</v>
      </c>
      <c r="W23" s="1"/>
      <c r="X23" s="1">
        <f t="shared" si="20"/>
        <v>-30846.612397692297</v>
      </c>
      <c r="Y23" s="1"/>
      <c r="Z23" s="5">
        <f t="shared" si="21"/>
        <v>-0.64523776539988165</v>
      </c>
    </row>
    <row r="24" spans="1:26" s="24" customFormat="1" hidden="1" outlineLevel="2" x14ac:dyDescent="0.3">
      <c r="A24" s="29"/>
      <c r="B24" s="11" t="str">
        <f>CONCATENATE("          ", "6111", " - ", "F.I.C.A.")</f>
        <v xml:space="preserve">          6111 - F.I.C.A.</v>
      </c>
      <c r="C24" s="11"/>
      <c r="D24" s="6">
        <v>424.03</v>
      </c>
      <c r="E24" s="2"/>
      <c r="F24" s="7">
        <f t="shared" si="14"/>
        <v>0</v>
      </c>
      <c r="G24" s="2"/>
      <c r="H24" s="6">
        <v>574.20459000000005</v>
      </c>
      <c r="I24" s="2"/>
      <c r="J24" s="7">
        <f t="shared" si="15"/>
        <v>1.5863758150071832E-2</v>
      </c>
      <c r="K24" s="2"/>
      <c r="L24" s="6">
        <f t="shared" si="16"/>
        <v>-150.17459000000008</v>
      </c>
      <c r="M24" s="2"/>
      <c r="N24" s="7">
        <f t="shared" si="17"/>
        <v>-0.26153498703310618</v>
      </c>
      <c r="O24" s="11"/>
      <c r="P24" s="6">
        <v>2341.9</v>
      </c>
      <c r="Q24" s="2"/>
      <c r="R24" s="7">
        <f t="shared" si="18"/>
        <v>0</v>
      </c>
      <c r="S24" s="2"/>
      <c r="T24" s="6">
        <v>4274.4300899999998</v>
      </c>
      <c r="U24" s="2"/>
      <c r="V24" s="7">
        <f t="shared" si="19"/>
        <v>1.9323300859832013E-2</v>
      </c>
      <c r="W24" s="2"/>
      <c r="X24" s="6">
        <f t="shared" si="20"/>
        <v>-1932.5300899999997</v>
      </c>
      <c r="Y24" s="2"/>
      <c r="Z24" s="7">
        <f t="shared" si="21"/>
        <v>-0.45211409458330848</v>
      </c>
    </row>
    <row r="25" spans="1:26" s="24" customFormat="1" hidden="1" outlineLevel="2" x14ac:dyDescent="0.3">
      <c r="A25" s="29"/>
      <c r="B25" s="11" t="str">
        <f>CONCATENATE("          ", "6112", " - ", "COMPENSATION INSURANCE")</f>
        <v xml:space="preserve">          6112 - COMPENSATION INSURANCE</v>
      </c>
      <c r="C25" s="11"/>
      <c r="D25" s="6">
        <v>199.39</v>
      </c>
      <c r="E25" s="2"/>
      <c r="F25" s="7">
        <f t="shared" si="14"/>
        <v>0</v>
      </c>
      <c r="G25" s="2"/>
      <c r="H25" s="6">
        <v>467.72390000000001</v>
      </c>
      <c r="I25" s="2"/>
      <c r="J25" s="7">
        <f t="shared" si="15"/>
        <v>1.2921977566581944E-2</v>
      </c>
      <c r="K25" s="2"/>
      <c r="L25" s="6">
        <f t="shared" si="16"/>
        <v>-268.33390000000003</v>
      </c>
      <c r="M25" s="2"/>
      <c r="N25" s="7">
        <f t="shared" si="17"/>
        <v>-0.57370149355207212</v>
      </c>
      <c r="O25" s="11"/>
      <c r="P25" s="6">
        <v>999.77</v>
      </c>
      <c r="Q25" s="2"/>
      <c r="R25" s="7">
        <f t="shared" si="18"/>
        <v>0</v>
      </c>
      <c r="S25" s="2"/>
      <c r="T25" s="6">
        <v>3197.5850999999998</v>
      </c>
      <c r="U25" s="2"/>
      <c r="V25" s="7">
        <f t="shared" si="19"/>
        <v>1.4455236747646989E-2</v>
      </c>
      <c r="W25" s="2"/>
      <c r="X25" s="6">
        <f t="shared" si="20"/>
        <v>-2197.8150999999998</v>
      </c>
      <c r="Y25" s="2"/>
      <c r="Z25" s="7">
        <f t="shared" si="21"/>
        <v>-0.68733592109870667</v>
      </c>
    </row>
    <row r="26" spans="1:26" s="24" customFormat="1" hidden="1" outlineLevel="2" x14ac:dyDescent="0.3">
      <c r="A26" s="29"/>
      <c r="B26" s="11" t="str">
        <f>CONCATENATE("          ", "6113", " - ", "GROUP INSURANCE")</f>
        <v xml:space="preserve">          6113 - GROUP INSURANCE</v>
      </c>
      <c r="C26" s="11"/>
      <c r="D26" s="6">
        <v>44.18</v>
      </c>
      <c r="E26" s="2"/>
      <c r="F26" s="7">
        <f t="shared" si="14"/>
        <v>0</v>
      </c>
      <c r="G26" s="2"/>
      <c r="H26" s="6">
        <v>3694.1538461538498</v>
      </c>
      <c r="I26" s="2"/>
      <c r="J26" s="7">
        <f t="shared" si="15"/>
        <v>0.10205972610658222</v>
      </c>
      <c r="K26" s="2"/>
      <c r="L26" s="6">
        <f t="shared" si="16"/>
        <v>-3649.97384615385</v>
      </c>
      <c r="M26" s="2"/>
      <c r="N26" s="7">
        <f t="shared" si="17"/>
        <v>-0.98804056305180754</v>
      </c>
      <c r="O26" s="11"/>
      <c r="P26" s="6">
        <v>10097.26</v>
      </c>
      <c r="Q26" s="2"/>
      <c r="R26" s="7">
        <f t="shared" si="18"/>
        <v>0</v>
      </c>
      <c r="S26" s="2"/>
      <c r="T26" s="6">
        <v>28158.842307692299</v>
      </c>
      <c r="U26" s="2"/>
      <c r="V26" s="7">
        <f t="shared" si="19"/>
        <v>0.12729691919609912</v>
      </c>
      <c r="W26" s="2"/>
      <c r="X26" s="6">
        <f t="shared" si="20"/>
        <v>-18061.582307692297</v>
      </c>
      <c r="Y26" s="2"/>
      <c r="Z26" s="7">
        <f t="shared" si="21"/>
        <v>-0.64141778665234117</v>
      </c>
    </row>
    <row r="27" spans="1:26" s="24" customFormat="1" hidden="1" outlineLevel="2" x14ac:dyDescent="0.3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14.4</v>
      </c>
      <c r="E27" s="2"/>
      <c r="F27" s="7">
        <f t="shared" si="14"/>
        <v>0</v>
      </c>
      <c r="G27" s="2"/>
      <c r="H27" s="6">
        <v>25.9161</v>
      </c>
      <c r="I27" s="2"/>
      <c r="J27" s="7">
        <f t="shared" si="15"/>
        <v>7.159934799425351E-4</v>
      </c>
      <c r="K27" s="2"/>
      <c r="L27" s="6">
        <f t="shared" si="16"/>
        <v>-11.5161</v>
      </c>
      <c r="M27" s="2"/>
      <c r="N27" s="7">
        <f t="shared" si="17"/>
        <v>-0.44436084133029274</v>
      </c>
      <c r="O27" s="11"/>
      <c r="P27" s="6">
        <v>73.569999999999993</v>
      </c>
      <c r="Q27" s="2"/>
      <c r="R27" s="7">
        <f t="shared" si="18"/>
        <v>0</v>
      </c>
      <c r="S27" s="2"/>
      <c r="T27" s="6">
        <v>177.17490000000001</v>
      </c>
      <c r="U27" s="2"/>
      <c r="V27" s="7">
        <f t="shared" si="19"/>
        <v>8.0094979340524224E-4</v>
      </c>
      <c r="W27" s="2"/>
      <c r="X27" s="6">
        <f t="shared" si="20"/>
        <v>-103.60490000000001</v>
      </c>
      <c r="Y27" s="2"/>
      <c r="Z27" s="7">
        <f t="shared" si="21"/>
        <v>-0.58476059532134639</v>
      </c>
    </row>
    <row r="28" spans="1:26" s="24" customFormat="1" hidden="1" outlineLevel="2" x14ac:dyDescent="0.3">
      <c r="A28" s="29"/>
      <c r="B28" s="11" t="str">
        <f>CONCATENATE("          ", "6115", " - ", "P.E.R.S.")</f>
        <v xml:space="preserve">          6115 - P.E.R.S.</v>
      </c>
      <c r="C28" s="11"/>
      <c r="D28" s="6">
        <v>420.37</v>
      </c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420.37</v>
      </c>
      <c r="M28" s="2"/>
      <c r="N28" s="7">
        <f t="shared" si="17"/>
        <v>0</v>
      </c>
      <c r="O28" s="11"/>
      <c r="P28" s="6">
        <v>483.42</v>
      </c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483.42</v>
      </c>
      <c r="Y28" s="2"/>
      <c r="Z28" s="7">
        <f t="shared" si="21"/>
        <v>0</v>
      </c>
    </row>
    <row r="29" spans="1:26" s="24" customFormat="1" hidden="1" outlineLevel="2" x14ac:dyDescent="0.3">
      <c r="A29" s="29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3">
      <c r="A30" s="29"/>
      <c r="B30" s="11" t="str">
        <f>CONCATENATE("          ", "6118", " - ", "VACATION")</f>
        <v xml:space="preserve">          6118 - VACATION</v>
      </c>
      <c r="C30" s="11"/>
      <c r="D30" s="6">
        <v>213.24</v>
      </c>
      <c r="E30" s="2"/>
      <c r="F30" s="7">
        <f t="shared" si="14"/>
        <v>0</v>
      </c>
      <c r="G30" s="2"/>
      <c r="H30" s="6">
        <v>194.4</v>
      </c>
      <c r="I30" s="2"/>
      <c r="J30" s="7">
        <f t="shared" si="15"/>
        <v>5.3707591999115926E-3</v>
      </c>
      <c r="K30" s="2"/>
      <c r="L30" s="6">
        <f t="shared" si="16"/>
        <v>18.840000000000003</v>
      </c>
      <c r="M30" s="2"/>
      <c r="N30" s="7">
        <f t="shared" si="17"/>
        <v>9.69135802469136E-2</v>
      </c>
      <c r="O30" s="11"/>
      <c r="P30" s="6">
        <v>1031.18</v>
      </c>
      <c r="Q30" s="2"/>
      <c r="R30" s="7">
        <f t="shared" si="18"/>
        <v>0</v>
      </c>
      <c r="S30" s="2"/>
      <c r="T30" s="6">
        <v>1481.22</v>
      </c>
      <c r="U30" s="2"/>
      <c r="V30" s="7">
        <f t="shared" si="19"/>
        <v>6.6961113170528833E-3</v>
      </c>
      <c r="W30" s="2"/>
      <c r="X30" s="6">
        <f t="shared" si="20"/>
        <v>-450.03999999999996</v>
      </c>
      <c r="Y30" s="2"/>
      <c r="Z30" s="7">
        <f t="shared" si="21"/>
        <v>-0.3038306261055076</v>
      </c>
    </row>
    <row r="31" spans="1:26" s="24" customFormat="1" hidden="1" outlineLevel="2" x14ac:dyDescent="0.3">
      <c r="A31" s="29"/>
      <c r="B31" s="11" t="str">
        <f>CONCATENATE("          ", "6119", " - ", "SICK LEAVE")</f>
        <v xml:space="preserve">          6119 - SICK LEAVE</v>
      </c>
      <c r="C31" s="11"/>
      <c r="D31" s="6">
        <v>255.46</v>
      </c>
      <c r="E31" s="2"/>
      <c r="F31" s="7">
        <f t="shared" si="14"/>
        <v>0</v>
      </c>
      <c r="G31" s="2"/>
      <c r="H31" s="6">
        <v>305.43</v>
      </c>
      <c r="I31" s="2"/>
      <c r="J31" s="7">
        <f t="shared" si="15"/>
        <v>8.4382252182561603E-3</v>
      </c>
      <c r="K31" s="2"/>
      <c r="L31" s="6">
        <f t="shared" si="16"/>
        <v>-49.97</v>
      </c>
      <c r="M31" s="2"/>
      <c r="N31" s="7">
        <f t="shared" si="17"/>
        <v>-0.16360540876796648</v>
      </c>
      <c r="O31" s="11"/>
      <c r="P31" s="6">
        <v>1056.6500000000001</v>
      </c>
      <c r="Q31" s="2"/>
      <c r="R31" s="7">
        <f t="shared" si="18"/>
        <v>0</v>
      </c>
      <c r="S31" s="2"/>
      <c r="T31" s="6">
        <v>2037.33</v>
      </c>
      <c r="U31" s="2"/>
      <c r="V31" s="7">
        <f t="shared" si="19"/>
        <v>9.2101028001048794E-3</v>
      </c>
      <c r="W31" s="2"/>
      <c r="X31" s="6">
        <f t="shared" si="20"/>
        <v>-980.67999999999984</v>
      </c>
      <c r="Y31" s="2"/>
      <c r="Z31" s="7">
        <f t="shared" si="21"/>
        <v>-0.48135549959996654</v>
      </c>
    </row>
    <row r="32" spans="1:26" s="24" customFormat="1" hidden="1" outlineLevel="2" x14ac:dyDescent="0.3">
      <c r="A32" s="29"/>
      <c r="B32" s="11" t="str">
        <f>CONCATENATE("          ", "6156", " - ", "EMPLOYEE MEALS")</f>
        <v xml:space="preserve">          6156 - EMPLOYEE MEALS</v>
      </c>
      <c r="C32" s="11"/>
      <c r="D32" s="6">
        <v>174.73</v>
      </c>
      <c r="E32" s="2"/>
      <c r="F32" s="7">
        <f t="shared" si="14"/>
        <v>0</v>
      </c>
      <c r="G32" s="2"/>
      <c r="H32" s="6">
        <v>1340</v>
      </c>
      <c r="I32" s="2"/>
      <c r="J32" s="7">
        <f t="shared" si="15"/>
        <v>3.7020665266880318E-2</v>
      </c>
      <c r="K32" s="2"/>
      <c r="L32" s="6">
        <f t="shared" si="16"/>
        <v>-1165.27</v>
      </c>
      <c r="M32" s="2"/>
      <c r="N32" s="7">
        <f t="shared" si="17"/>
        <v>-0.86960447761194026</v>
      </c>
      <c r="O32" s="11"/>
      <c r="P32" s="6">
        <v>876.22</v>
      </c>
      <c r="Q32" s="2"/>
      <c r="R32" s="7">
        <f t="shared" si="18"/>
        <v>0</v>
      </c>
      <c r="S32" s="2"/>
      <c r="T32" s="6">
        <v>8480</v>
      </c>
      <c r="U32" s="2"/>
      <c r="V32" s="7">
        <f t="shared" si="19"/>
        <v>3.8335307360559838E-2</v>
      </c>
      <c r="W32" s="2"/>
      <c r="X32" s="6">
        <f t="shared" si="20"/>
        <v>-7603.78</v>
      </c>
      <c r="Y32" s="2"/>
      <c r="Z32" s="7">
        <f t="shared" si="21"/>
        <v>-0.8966721698113207</v>
      </c>
    </row>
    <row r="33" spans="1:26" s="28" customFormat="1" outlineLevel="1" collapsed="1" x14ac:dyDescent="0.3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5538.48</v>
      </c>
      <c r="E33" s="1"/>
      <c r="F33" s="5">
        <f t="shared" ref="F33:F43" si="22">IF(D$12=0,0,D33/D$12)</f>
        <v>0</v>
      </c>
      <c r="G33" s="1"/>
      <c r="H33" s="1">
        <f>SUM(OSRRefH22_1x_0)</f>
        <v>11841.17</v>
      </c>
      <c r="I33" s="1"/>
      <c r="J33" s="5">
        <f t="shared" ref="J33:J43" si="23">IF(H$12=0,0,H33/H$12)</f>
        <v>0.32714029174494419</v>
      </c>
      <c r="K33" s="1"/>
      <c r="L33" s="1">
        <f t="shared" ref="L33:L43" si="24">+D33-H33</f>
        <v>-6302.6900000000005</v>
      </c>
      <c r="M33" s="1"/>
      <c r="N33" s="5">
        <f t="shared" ref="N33:N43" si="25">IF(H33=0,0,L33/H33)</f>
        <v>-0.53226919299359776</v>
      </c>
      <c r="O33" s="14"/>
      <c r="P33" s="1">
        <f>SUM(OSRRefP22_1x_0)</f>
        <v>28985.94</v>
      </c>
      <c r="Q33" s="1"/>
      <c r="R33" s="5">
        <f t="shared" ref="R33:R43" si="26">IF(P$12=0,0,P33/P$12)</f>
        <v>0</v>
      </c>
      <c r="S33" s="1"/>
      <c r="T33" s="1">
        <f>SUM(OSRRefT22_1x_0)</f>
        <v>80850.450000000012</v>
      </c>
      <c r="U33" s="1"/>
      <c r="V33" s="5">
        <f t="shared" ref="V33:V43" si="27">IF(T$12=0,0,T33/T$12)</f>
        <v>0.36549844940914811</v>
      </c>
      <c r="W33" s="1"/>
      <c r="X33" s="1">
        <f t="shared" ref="X33:X43" si="28">+P33-T33</f>
        <v>-51864.510000000009</v>
      </c>
      <c r="Y33" s="1"/>
      <c r="Z33" s="5">
        <f t="shared" ref="Z33:Z43" si="29">IF(T33=0,0,X33/T33)</f>
        <v>-0.64148696760500412</v>
      </c>
    </row>
    <row r="34" spans="1:26" s="24" customFormat="1" hidden="1" outlineLevel="2" x14ac:dyDescent="0.3">
      <c r="A34" s="29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3">
      <c r="A35" s="29"/>
      <c r="B35" s="11" t="str">
        <f>CONCATENATE("          ", "6002", " - ", "STAFF SALARIES")</f>
        <v xml:space="preserve">          6002 - STAFF SALARIES</v>
      </c>
      <c r="C35" s="11"/>
      <c r="D35" s="6">
        <v>5538.48</v>
      </c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5538.48</v>
      </c>
      <c r="M35" s="2"/>
      <c r="N35" s="7">
        <f t="shared" si="25"/>
        <v>0</v>
      </c>
      <c r="O35" s="11"/>
      <c r="P35" s="6">
        <v>6369.24</v>
      </c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6369.24</v>
      </c>
      <c r="Y35" s="2"/>
      <c r="Z35" s="7">
        <f t="shared" si="29"/>
        <v>0</v>
      </c>
    </row>
    <row r="36" spans="1:26" s="24" customFormat="1" hidden="1" outlineLevel="2" x14ac:dyDescent="0.3">
      <c r="A36" s="29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3">
      <c r="A37" s="29"/>
      <c r="B37" s="11" t="str">
        <f>CONCATENATE("          ", "6004", " - ", "STAFF HOURLY")</f>
        <v xml:space="preserve">          6004 - STAFF HOURLY</v>
      </c>
      <c r="C37" s="11"/>
      <c r="D37" s="6"/>
      <c r="E37" s="2"/>
      <c r="F37" s="7">
        <f t="shared" si="22"/>
        <v>0</v>
      </c>
      <c r="G37" s="2"/>
      <c r="H37" s="6">
        <v>6156</v>
      </c>
      <c r="I37" s="2"/>
      <c r="J37" s="7">
        <f t="shared" si="23"/>
        <v>0.17007404133053375</v>
      </c>
      <c r="K37" s="2"/>
      <c r="L37" s="6">
        <f t="shared" si="24"/>
        <v>-6156</v>
      </c>
      <c r="M37" s="2"/>
      <c r="N37" s="7">
        <f t="shared" si="25"/>
        <v>-1</v>
      </c>
      <c r="O37" s="11"/>
      <c r="P37" s="6">
        <v>14370.65</v>
      </c>
      <c r="Q37" s="2"/>
      <c r="R37" s="7">
        <f t="shared" si="26"/>
        <v>0</v>
      </c>
      <c r="S37" s="2"/>
      <c r="T37" s="6">
        <v>46905.3</v>
      </c>
      <c r="U37" s="2"/>
      <c r="V37" s="7">
        <f t="shared" si="27"/>
        <v>0.21204352504000798</v>
      </c>
      <c r="W37" s="2"/>
      <c r="X37" s="6">
        <f t="shared" si="28"/>
        <v>-32534.65</v>
      </c>
      <c r="Y37" s="2"/>
      <c r="Z37" s="7">
        <f t="shared" si="29"/>
        <v>-0.69362417466682869</v>
      </c>
    </row>
    <row r="38" spans="1:26" s="24" customFormat="1" hidden="1" outlineLevel="2" x14ac:dyDescent="0.3">
      <c r="A38" s="29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3755.84</v>
      </c>
      <c r="I38" s="2"/>
      <c r="J38" s="7">
        <f t="shared" si="23"/>
        <v>0.10376395181788044</v>
      </c>
      <c r="K38" s="2"/>
      <c r="L38" s="6">
        <f t="shared" si="24"/>
        <v>-3755.84</v>
      </c>
      <c r="M38" s="2"/>
      <c r="N38" s="7">
        <f t="shared" si="25"/>
        <v>-1</v>
      </c>
      <c r="O38" s="11"/>
      <c r="P38" s="6">
        <v>8246.0499999999993</v>
      </c>
      <c r="Q38" s="2"/>
      <c r="R38" s="7">
        <f t="shared" si="26"/>
        <v>0</v>
      </c>
      <c r="S38" s="2"/>
      <c r="T38" s="6">
        <v>22635.919999999998</v>
      </c>
      <c r="U38" s="2"/>
      <c r="V38" s="7">
        <f t="shared" si="27"/>
        <v>0.10232959322984005</v>
      </c>
      <c r="W38" s="2"/>
      <c r="X38" s="6">
        <f t="shared" si="28"/>
        <v>-14389.869999999999</v>
      </c>
      <c r="Y38" s="2"/>
      <c r="Z38" s="7">
        <f t="shared" si="29"/>
        <v>-0.63570952715860451</v>
      </c>
    </row>
    <row r="39" spans="1:26" s="24" customFormat="1" hidden="1" outlineLevel="2" x14ac:dyDescent="0.3">
      <c r="A39" s="29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9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992.31</v>
      </c>
      <c r="I40" s="2"/>
      <c r="J40" s="7">
        <f t="shared" si="23"/>
        <v>2.7414907724610454E-2</v>
      </c>
      <c r="K40" s="2"/>
      <c r="L40" s="6">
        <f t="shared" si="24"/>
        <v>-992.31</v>
      </c>
      <c r="M40" s="2"/>
      <c r="N40" s="7">
        <f t="shared" si="25"/>
        <v>-1</v>
      </c>
      <c r="O40" s="11"/>
      <c r="P40" s="6">
        <v>0</v>
      </c>
      <c r="Q40" s="2"/>
      <c r="R40" s="7">
        <f t="shared" si="26"/>
        <v>0</v>
      </c>
      <c r="S40" s="2"/>
      <c r="T40" s="6">
        <v>6284.63</v>
      </c>
      <c r="U40" s="2"/>
      <c r="V40" s="7">
        <f t="shared" si="27"/>
        <v>2.8410757393560755E-2</v>
      </c>
      <c r="W40" s="2"/>
      <c r="X40" s="6">
        <f t="shared" si="28"/>
        <v>-6284.63</v>
      </c>
      <c r="Y40" s="2"/>
      <c r="Z40" s="7">
        <f t="shared" si="29"/>
        <v>-1</v>
      </c>
    </row>
    <row r="41" spans="1:26" s="24" customFormat="1" hidden="1" outlineLevel="2" x14ac:dyDescent="0.3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937.02</v>
      </c>
      <c r="I41" s="2"/>
      <c r="J41" s="7">
        <f t="shared" si="23"/>
        <v>2.588739087191955E-2</v>
      </c>
      <c r="K41" s="2"/>
      <c r="L41" s="6">
        <f t="shared" si="24"/>
        <v>-937.02</v>
      </c>
      <c r="M41" s="2"/>
      <c r="N41" s="7">
        <f t="shared" si="25"/>
        <v>-1</v>
      </c>
      <c r="O41" s="11"/>
      <c r="P41" s="6"/>
      <c r="Q41" s="2"/>
      <c r="R41" s="7">
        <f t="shared" si="26"/>
        <v>0</v>
      </c>
      <c r="S41" s="2"/>
      <c r="T41" s="6">
        <v>5024.6000000000004</v>
      </c>
      <c r="U41" s="2"/>
      <c r="V41" s="7">
        <f t="shared" si="27"/>
        <v>2.2714573745739267E-2</v>
      </c>
      <c r="W41" s="2"/>
      <c r="X41" s="6">
        <f t="shared" si="28"/>
        <v>-5024.6000000000004</v>
      </c>
      <c r="Y41" s="2"/>
      <c r="Z41" s="7">
        <f t="shared" si="29"/>
        <v>-1</v>
      </c>
    </row>
    <row r="42" spans="1:26" s="24" customFormat="1" hidden="1" outlineLevel="2" x14ac:dyDescent="0.3">
      <c r="A42" s="29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3">
      <c r="A43" s="29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8" customFormat="1" outlineLevel="1" collapsed="1" x14ac:dyDescent="0.3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0" si="30">IF(D$12=0,0,D44/D$12)</f>
        <v>0</v>
      </c>
      <c r="G44" s="1"/>
      <c r="H44" s="1">
        <f>SUM(OSRRefH22_2x_0)</f>
        <v>0</v>
      </c>
      <c r="I44" s="1"/>
      <c r="J44" s="5">
        <f t="shared" ref="J44:J50" si="31">IF(H$12=0,0,H44/H$12)</f>
        <v>0</v>
      </c>
      <c r="K44" s="1"/>
      <c r="L44" s="1">
        <f t="shared" ref="L44:L50" si="32">+D44-H44</f>
        <v>0</v>
      </c>
      <c r="M44" s="1"/>
      <c r="N44" s="5">
        <f t="shared" ref="N44:N50" si="33">IF(H44=0,0,L44/H44)</f>
        <v>0</v>
      </c>
      <c r="O44" s="14"/>
      <c r="P44" s="1">
        <f>SUM(OSRRefP22_2x_0)</f>
        <v>263.58</v>
      </c>
      <c r="Q44" s="1"/>
      <c r="R44" s="5">
        <f t="shared" ref="R44:R50" si="34">IF(P$12=0,0,P44/P$12)</f>
        <v>0</v>
      </c>
      <c r="S44" s="1"/>
      <c r="T44" s="1">
        <f>SUM(OSRRefT22_2x_0)</f>
        <v>0</v>
      </c>
      <c r="U44" s="1"/>
      <c r="V44" s="5">
        <f t="shared" ref="V44:V50" si="35">IF(T$12=0,0,T44/T$12)</f>
        <v>0</v>
      </c>
      <c r="W44" s="1"/>
      <c r="X44" s="1">
        <f t="shared" ref="X44:X50" si="36">+P44-T44</f>
        <v>263.58</v>
      </c>
      <c r="Y44" s="1"/>
      <c r="Z44" s="5">
        <f t="shared" ref="Z44:Z50" si="37">IF(T44=0,0,X44/T44)</f>
        <v>0</v>
      </c>
    </row>
    <row r="45" spans="1:26" s="24" customFormat="1" hidden="1" outlineLevel="2" x14ac:dyDescent="0.3">
      <c r="A45" s="29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>
        <v>263.58</v>
      </c>
      <c r="Q45" s="2"/>
      <c r="R45" s="7">
        <f t="shared" si="34"/>
        <v>0</v>
      </c>
      <c r="S45" s="2"/>
      <c r="T45" s="6"/>
      <c r="U45" s="2"/>
      <c r="V45" s="7">
        <f t="shared" si="35"/>
        <v>0</v>
      </c>
      <c r="W45" s="2"/>
      <c r="X45" s="6">
        <f t="shared" si="36"/>
        <v>263.58</v>
      </c>
      <c r="Y45" s="2"/>
      <c r="Z45" s="7">
        <f t="shared" si="37"/>
        <v>0</v>
      </c>
    </row>
    <row r="46" spans="1:26" s="28" customFormat="1" outlineLevel="1" collapsed="1" x14ac:dyDescent="0.3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1447</v>
      </c>
      <c r="I46" s="1"/>
      <c r="J46" s="5">
        <f t="shared" si="31"/>
        <v>3.9976793015802849E-2</v>
      </c>
      <c r="K46" s="1"/>
      <c r="L46" s="1">
        <f t="shared" si="32"/>
        <v>-1447</v>
      </c>
      <c r="M46" s="1"/>
      <c r="N46" s="5">
        <f t="shared" si="33"/>
        <v>-1</v>
      </c>
      <c r="O46" s="14"/>
      <c r="P46" s="1">
        <f>SUM(OSRRefP22_3x_0)</f>
        <v>0.37</v>
      </c>
      <c r="Q46" s="1"/>
      <c r="R46" s="5">
        <f t="shared" si="34"/>
        <v>0</v>
      </c>
      <c r="S46" s="1"/>
      <c r="T46" s="1">
        <f>SUM(OSRRefT22_3x_0)</f>
        <v>8842</v>
      </c>
      <c r="U46" s="1"/>
      <c r="V46" s="5">
        <f t="shared" si="35"/>
        <v>3.9971791000244117E-2</v>
      </c>
      <c r="W46" s="1"/>
      <c r="X46" s="1">
        <f t="shared" si="36"/>
        <v>-8841.6299999999992</v>
      </c>
      <c r="Y46" s="1"/>
      <c r="Z46" s="5">
        <f t="shared" si="37"/>
        <v>-0.99995815426374113</v>
      </c>
    </row>
    <row r="47" spans="1:26" s="24" customFormat="1" hidden="1" outlineLevel="2" x14ac:dyDescent="0.3">
      <c r="A47" s="29"/>
      <c r="B47" s="11" t="str">
        <f>CONCATENATE("          ", "6381", " - ", "BANK/CREDIT CARD FEES")</f>
        <v xml:space="preserve">          6381 - BANK/CREDIT CARD FEES</v>
      </c>
      <c r="C47" s="11"/>
      <c r="D47" s="6"/>
      <c r="E47" s="2"/>
      <c r="F47" s="7">
        <f t="shared" si="30"/>
        <v>0</v>
      </c>
      <c r="G47" s="2"/>
      <c r="H47" s="6">
        <v>1447</v>
      </c>
      <c r="I47" s="2"/>
      <c r="J47" s="7">
        <f t="shared" si="31"/>
        <v>3.9976793015802849E-2</v>
      </c>
      <c r="K47" s="2"/>
      <c r="L47" s="6">
        <f t="shared" si="32"/>
        <v>-1447</v>
      </c>
      <c r="M47" s="2"/>
      <c r="N47" s="7">
        <f t="shared" si="33"/>
        <v>-1</v>
      </c>
      <c r="O47" s="11"/>
      <c r="P47" s="6">
        <v>0.37</v>
      </c>
      <c r="Q47" s="2"/>
      <c r="R47" s="7">
        <f t="shared" si="34"/>
        <v>0</v>
      </c>
      <c r="S47" s="2"/>
      <c r="T47" s="6">
        <v>8842</v>
      </c>
      <c r="U47" s="2"/>
      <c r="V47" s="7">
        <f t="shared" si="35"/>
        <v>3.9971791000244117E-2</v>
      </c>
      <c r="W47" s="2"/>
      <c r="X47" s="6">
        <f t="shared" si="36"/>
        <v>-8841.6299999999992</v>
      </c>
      <c r="Y47" s="2"/>
      <c r="Z47" s="7">
        <f t="shared" si="37"/>
        <v>-0.99995815426374113</v>
      </c>
    </row>
    <row r="48" spans="1:26" s="28" customFormat="1" outlineLevel="1" collapsed="1" x14ac:dyDescent="0.3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6701.08</v>
      </c>
      <c r="E48" s="1"/>
      <c r="F48" s="5">
        <f t="shared" si="30"/>
        <v>0</v>
      </c>
      <c r="G48" s="1"/>
      <c r="H48" s="1">
        <f>SUM(OSRRefH22_4x_0)</f>
        <v>6701</v>
      </c>
      <c r="I48" s="1"/>
      <c r="J48" s="5">
        <f t="shared" si="31"/>
        <v>0.18513095369654106</v>
      </c>
      <c r="K48" s="1"/>
      <c r="L48" s="1">
        <f t="shared" si="32"/>
        <v>7.999999999992724E-2</v>
      </c>
      <c r="M48" s="1"/>
      <c r="N48" s="5">
        <f t="shared" si="33"/>
        <v>1.1938516639296707E-5</v>
      </c>
      <c r="O48" s="14"/>
      <c r="P48" s="1">
        <f>SUM(OSRRefP22_4x_0)</f>
        <v>40294.620000000003</v>
      </c>
      <c r="Q48" s="1"/>
      <c r="R48" s="5">
        <f t="shared" si="34"/>
        <v>0</v>
      </c>
      <c r="S48" s="1"/>
      <c r="T48" s="1">
        <f>SUM(OSRRefT22_4x_0)</f>
        <v>40294</v>
      </c>
      <c r="U48" s="1"/>
      <c r="V48" s="5">
        <f t="shared" si="35"/>
        <v>0.18215599938518848</v>
      </c>
      <c r="W48" s="1"/>
      <c r="X48" s="1">
        <f t="shared" si="36"/>
        <v>0.62000000000261934</v>
      </c>
      <c r="Y48" s="1"/>
      <c r="Z48" s="5">
        <f t="shared" si="37"/>
        <v>1.5386906239207308E-5</v>
      </c>
    </row>
    <row r="49" spans="1:26" s="24" customFormat="1" hidden="1" outlineLevel="2" x14ac:dyDescent="0.3">
      <c r="A49" s="29"/>
      <c r="B49" s="11" t="str">
        <f>CONCATENATE("          ", "6321", " - ", "BUILDING DEPRECIATION")</f>
        <v xml:space="preserve">          6321 - BUILDING DEPRECIATION</v>
      </c>
      <c r="C49" s="11"/>
      <c r="D49" s="6">
        <v>6492.96</v>
      </c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6492.96</v>
      </c>
      <c r="M49" s="2"/>
      <c r="N49" s="7">
        <f t="shared" si="33"/>
        <v>0</v>
      </c>
      <c r="O49" s="11"/>
      <c r="P49" s="6">
        <v>39045.9</v>
      </c>
      <c r="Q49" s="2"/>
      <c r="R49" s="7">
        <f t="shared" si="34"/>
        <v>0</v>
      </c>
      <c r="S49" s="2"/>
      <c r="T49" s="6"/>
      <c r="U49" s="2"/>
      <c r="V49" s="7">
        <f t="shared" si="35"/>
        <v>0</v>
      </c>
      <c r="W49" s="2"/>
      <c r="X49" s="6">
        <f t="shared" si="36"/>
        <v>39045.9</v>
      </c>
      <c r="Y49" s="2"/>
      <c r="Z49" s="7">
        <f t="shared" si="37"/>
        <v>0</v>
      </c>
    </row>
    <row r="50" spans="1:26" s="24" customFormat="1" hidden="1" outlineLevel="2" x14ac:dyDescent="0.3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208.12</v>
      </c>
      <c r="E50" s="2"/>
      <c r="F50" s="7">
        <f t="shared" si="30"/>
        <v>0</v>
      </c>
      <c r="G50" s="2"/>
      <c r="H50" s="6">
        <v>6701</v>
      </c>
      <c r="I50" s="2"/>
      <c r="J50" s="7">
        <f t="shared" si="31"/>
        <v>0.18513095369654106</v>
      </c>
      <c r="K50" s="2"/>
      <c r="L50" s="6">
        <f t="shared" si="32"/>
        <v>-6492.88</v>
      </c>
      <c r="M50" s="2"/>
      <c r="N50" s="7">
        <f t="shared" si="33"/>
        <v>-0.96894194896284136</v>
      </c>
      <c r="O50" s="11"/>
      <c r="P50" s="6">
        <v>1248.72</v>
      </c>
      <c r="Q50" s="2"/>
      <c r="R50" s="7">
        <f t="shared" si="34"/>
        <v>0</v>
      </c>
      <c r="S50" s="2"/>
      <c r="T50" s="6">
        <v>40294</v>
      </c>
      <c r="U50" s="2"/>
      <c r="V50" s="7">
        <f t="shared" si="35"/>
        <v>0.18215599938518848</v>
      </c>
      <c r="W50" s="2"/>
      <c r="X50" s="6">
        <f t="shared" si="36"/>
        <v>-39045.279999999999</v>
      </c>
      <c r="Y50" s="2"/>
      <c r="Z50" s="7">
        <f t="shared" si="37"/>
        <v>-0.96900977813073907</v>
      </c>
    </row>
    <row r="51" spans="1:26" s="28" customFormat="1" outlineLevel="1" collapsed="1" x14ac:dyDescent="0.3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SUM(OSRRefD22_5x_0)</f>
        <v>0</v>
      </c>
      <c r="E51" s="1"/>
      <c r="F51" s="5">
        <f t="shared" ref="F51:F59" si="38">IF(D$12=0,0,D51/D$12)</f>
        <v>0</v>
      </c>
      <c r="G51" s="1"/>
      <c r="H51" s="1">
        <f>SUM(OSRRefH22_5x_0)</f>
        <v>20</v>
      </c>
      <c r="I51" s="1"/>
      <c r="J51" s="5">
        <f t="shared" ref="J51:J59" si="39">IF(H$12=0,0,H51/H$12)</f>
        <v>5.5254724278925845E-4</v>
      </c>
      <c r="K51" s="1"/>
      <c r="L51" s="1">
        <f t="shared" ref="L51:L59" si="40">+D51-H51</f>
        <v>-20</v>
      </c>
      <c r="M51" s="1"/>
      <c r="N51" s="5">
        <f t="shared" ref="N51:N59" si="41">IF(H51=0,0,L51/H51)</f>
        <v>-1</v>
      </c>
      <c r="O51" s="14"/>
      <c r="P51" s="1">
        <f>SUM(OSRRefP22_5x_0)</f>
        <v>49.95</v>
      </c>
      <c r="Q51" s="1"/>
      <c r="R51" s="5">
        <f t="shared" ref="R51:R59" si="42">IF(P$12=0,0,P51/P$12)</f>
        <v>0</v>
      </c>
      <c r="S51" s="1"/>
      <c r="T51" s="1">
        <f>SUM(OSRRefT22_5x_0)</f>
        <v>80</v>
      </c>
      <c r="U51" s="1"/>
      <c r="V51" s="5">
        <f t="shared" ref="V51:V59" si="43">IF(T$12=0,0,T51/T$12)</f>
        <v>3.6165384302414943E-4</v>
      </c>
      <c r="W51" s="1"/>
      <c r="X51" s="1">
        <f t="shared" ref="X51:X59" si="44">+P51-T51</f>
        <v>-30.049999999999997</v>
      </c>
      <c r="Y51" s="1"/>
      <c r="Z51" s="5">
        <f t="shared" ref="Z51:Z59" si="45">IF(T51=0,0,X51/T51)</f>
        <v>-0.37562499999999999</v>
      </c>
    </row>
    <row r="52" spans="1:26" s="24" customFormat="1" hidden="1" outlineLevel="2" x14ac:dyDescent="0.3">
      <c r="A52" s="29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8"/>
        <v>0</v>
      </c>
      <c r="G52" s="2"/>
      <c r="H52" s="6">
        <v>20</v>
      </c>
      <c r="I52" s="2"/>
      <c r="J52" s="7">
        <f t="shared" si="39"/>
        <v>5.5254724278925845E-4</v>
      </c>
      <c r="K52" s="2"/>
      <c r="L52" s="6">
        <f t="shared" si="40"/>
        <v>-20</v>
      </c>
      <c r="M52" s="2"/>
      <c r="N52" s="7">
        <f t="shared" si="41"/>
        <v>-1</v>
      </c>
      <c r="O52" s="11"/>
      <c r="P52" s="6">
        <v>49.95</v>
      </c>
      <c r="Q52" s="2"/>
      <c r="R52" s="7">
        <f t="shared" si="42"/>
        <v>0</v>
      </c>
      <c r="S52" s="2"/>
      <c r="T52" s="6">
        <v>80</v>
      </c>
      <c r="U52" s="2"/>
      <c r="V52" s="7">
        <f t="shared" si="43"/>
        <v>3.6165384302414943E-4</v>
      </c>
      <c r="W52" s="2"/>
      <c r="X52" s="6">
        <f t="shared" si="44"/>
        <v>-30.049999999999997</v>
      </c>
      <c r="Y52" s="2"/>
      <c r="Z52" s="7">
        <f t="shared" si="45"/>
        <v>-0.37562499999999999</v>
      </c>
    </row>
    <row r="53" spans="1:26" s="28" customFormat="1" outlineLevel="1" collapsed="1" x14ac:dyDescent="0.3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699.53</v>
      </c>
      <c r="E53" s="1"/>
      <c r="F53" s="5">
        <f t="shared" si="38"/>
        <v>0</v>
      </c>
      <c r="G53" s="1"/>
      <c r="H53" s="1">
        <f>SUM(OSRRefH22_6x_0)</f>
        <v>200</v>
      </c>
      <c r="I53" s="1"/>
      <c r="J53" s="5">
        <f t="shared" si="39"/>
        <v>5.5254724278925851E-3</v>
      </c>
      <c r="K53" s="1"/>
      <c r="L53" s="1">
        <f t="shared" si="40"/>
        <v>499.53</v>
      </c>
      <c r="M53" s="1"/>
      <c r="N53" s="5">
        <f t="shared" si="41"/>
        <v>2.4976499999999997</v>
      </c>
      <c r="O53" s="14"/>
      <c r="P53" s="1">
        <f>SUM(OSRRefP22_6x_0)</f>
        <v>2916.92</v>
      </c>
      <c r="Q53" s="1"/>
      <c r="R53" s="5">
        <f t="shared" si="42"/>
        <v>0</v>
      </c>
      <c r="S53" s="1"/>
      <c r="T53" s="1">
        <f>SUM(OSRRefT22_6x_0)</f>
        <v>1200</v>
      </c>
      <c r="U53" s="1"/>
      <c r="V53" s="5">
        <f t="shared" si="43"/>
        <v>5.4248076453622413E-3</v>
      </c>
      <c r="W53" s="1"/>
      <c r="X53" s="1">
        <f t="shared" si="44"/>
        <v>1716.92</v>
      </c>
      <c r="Y53" s="1"/>
      <c r="Z53" s="5">
        <f t="shared" si="45"/>
        <v>1.4307666666666667</v>
      </c>
    </row>
    <row r="54" spans="1:26" s="24" customFormat="1" hidden="1" outlineLevel="2" x14ac:dyDescent="0.3">
      <c r="A54" s="29"/>
      <c r="B54" s="11" t="str">
        <f>CONCATENATE("          ", "6351", " - ", "EQUIPMENT RENTAL")</f>
        <v xml:space="preserve">          6351 - EQUIPMENT RENTAL</v>
      </c>
      <c r="C54" s="11"/>
      <c r="D54" s="6">
        <v>699.53</v>
      </c>
      <c r="E54" s="2"/>
      <c r="F54" s="7">
        <f t="shared" si="38"/>
        <v>0</v>
      </c>
      <c r="G54" s="2"/>
      <c r="H54" s="6">
        <v>200</v>
      </c>
      <c r="I54" s="2"/>
      <c r="J54" s="7">
        <f t="shared" si="39"/>
        <v>5.5254724278925851E-3</v>
      </c>
      <c r="K54" s="2"/>
      <c r="L54" s="6">
        <f t="shared" si="40"/>
        <v>499.53</v>
      </c>
      <c r="M54" s="2"/>
      <c r="N54" s="7">
        <f t="shared" si="41"/>
        <v>2.4976499999999997</v>
      </c>
      <c r="O54" s="11"/>
      <c r="P54" s="6">
        <v>2916.92</v>
      </c>
      <c r="Q54" s="2"/>
      <c r="R54" s="7">
        <f t="shared" si="42"/>
        <v>0</v>
      </c>
      <c r="S54" s="2"/>
      <c r="T54" s="6">
        <v>1200</v>
      </c>
      <c r="U54" s="2"/>
      <c r="V54" s="7">
        <f t="shared" si="43"/>
        <v>5.4248076453622413E-3</v>
      </c>
      <c r="W54" s="2"/>
      <c r="X54" s="6">
        <f t="shared" si="44"/>
        <v>1716.92</v>
      </c>
      <c r="Y54" s="2"/>
      <c r="Z54" s="7">
        <f t="shared" si="45"/>
        <v>1.4307666666666667</v>
      </c>
    </row>
    <row r="55" spans="1:26" s="28" customFormat="1" outlineLevel="1" collapsed="1" x14ac:dyDescent="0.3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500</v>
      </c>
      <c r="I55" s="1"/>
      <c r="J55" s="5">
        <f t="shared" si="39"/>
        <v>1.3813681069731461E-2</v>
      </c>
      <c r="K55" s="1"/>
      <c r="L55" s="1">
        <f t="shared" si="40"/>
        <v>-500</v>
      </c>
      <c r="M55" s="1"/>
      <c r="N55" s="5">
        <f t="shared" si="41"/>
        <v>-1</v>
      </c>
      <c r="O55" s="14"/>
      <c r="P55" s="1">
        <f>SUM(OSRRefP22_7x_0)</f>
        <v>1314.55</v>
      </c>
      <c r="Q55" s="1"/>
      <c r="R55" s="5">
        <f t="shared" si="42"/>
        <v>0</v>
      </c>
      <c r="S55" s="1"/>
      <c r="T55" s="1">
        <f>SUM(OSRRefT22_7x_0)</f>
        <v>1900</v>
      </c>
      <c r="U55" s="1"/>
      <c r="V55" s="5">
        <f t="shared" si="43"/>
        <v>8.5892787718235483E-3</v>
      </c>
      <c r="W55" s="1"/>
      <c r="X55" s="1">
        <f t="shared" si="44"/>
        <v>-585.45000000000005</v>
      </c>
      <c r="Y55" s="1"/>
      <c r="Z55" s="5">
        <f t="shared" si="45"/>
        <v>-0.30813157894736842</v>
      </c>
    </row>
    <row r="56" spans="1:26" s="24" customFormat="1" hidden="1" outlineLevel="2" x14ac:dyDescent="0.3">
      <c r="A56" s="29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38"/>
        <v>0</v>
      </c>
      <c r="G56" s="2"/>
      <c r="H56" s="6">
        <v>500</v>
      </c>
      <c r="I56" s="2"/>
      <c r="J56" s="7">
        <f t="shared" si="39"/>
        <v>1.3813681069731461E-2</v>
      </c>
      <c r="K56" s="2"/>
      <c r="L56" s="6">
        <f t="shared" si="40"/>
        <v>-500</v>
      </c>
      <c r="M56" s="2"/>
      <c r="N56" s="7">
        <f t="shared" si="41"/>
        <v>-1</v>
      </c>
      <c r="O56" s="11"/>
      <c r="P56" s="6">
        <v>1314.55</v>
      </c>
      <c r="Q56" s="2"/>
      <c r="R56" s="7">
        <f t="shared" si="42"/>
        <v>0</v>
      </c>
      <c r="S56" s="2"/>
      <c r="T56" s="6">
        <v>1900</v>
      </c>
      <c r="U56" s="2"/>
      <c r="V56" s="7">
        <f t="shared" si="43"/>
        <v>8.5892787718235483E-3</v>
      </c>
      <c r="W56" s="2"/>
      <c r="X56" s="6">
        <f t="shared" si="44"/>
        <v>-585.45000000000005</v>
      </c>
      <c r="Y56" s="2"/>
      <c r="Z56" s="7">
        <f t="shared" si="45"/>
        <v>-0.30813157894736842</v>
      </c>
    </row>
    <row r="57" spans="1:26" s="28" customFormat="1" outlineLevel="1" collapsed="1" x14ac:dyDescent="0.3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SUM(OSRRefD22_8x_0)</f>
        <v>1952.51</v>
      </c>
      <c r="E57" s="1"/>
      <c r="F57" s="5">
        <f t="shared" si="38"/>
        <v>0</v>
      </c>
      <c r="G57" s="1"/>
      <c r="H57" s="1">
        <f>SUM(OSRRefH22_8x_0)</f>
        <v>724</v>
      </c>
      <c r="I57" s="1"/>
      <c r="J57" s="5">
        <f t="shared" si="39"/>
        <v>2.0002210188971158E-2</v>
      </c>
      <c r="K57" s="1"/>
      <c r="L57" s="1">
        <f t="shared" si="40"/>
        <v>1228.51</v>
      </c>
      <c r="M57" s="1"/>
      <c r="N57" s="5">
        <f t="shared" si="41"/>
        <v>1.6968370165745856</v>
      </c>
      <c r="O57" s="14"/>
      <c r="P57" s="1">
        <f>SUM(OSRRefP22_8x_0)</f>
        <v>7564.0599999999995</v>
      </c>
      <c r="Q57" s="1"/>
      <c r="R57" s="5">
        <f t="shared" si="42"/>
        <v>0</v>
      </c>
      <c r="S57" s="1"/>
      <c r="T57" s="1">
        <f>SUM(OSRRefT22_8x_0)</f>
        <v>15375</v>
      </c>
      <c r="U57" s="1"/>
      <c r="V57" s="5">
        <f t="shared" si="43"/>
        <v>6.9505347956203722E-2</v>
      </c>
      <c r="W57" s="1"/>
      <c r="X57" s="1">
        <f t="shared" si="44"/>
        <v>-7810.9400000000005</v>
      </c>
      <c r="Y57" s="1"/>
      <c r="Z57" s="5">
        <f t="shared" si="45"/>
        <v>-0.50802861788617892</v>
      </c>
    </row>
    <row r="58" spans="1:26" s="24" customFormat="1" hidden="1" outlineLevel="2" x14ac:dyDescent="0.3">
      <c r="A58" s="29"/>
      <c r="B58" s="11" t="str">
        <f>CONCATENATE("          ", "6373", " - ", "MAINTENANCE CONTRACTS")</f>
        <v xml:space="preserve">          6373 - MAINTENANCE CONTRACTS</v>
      </c>
      <c r="C58" s="11"/>
      <c r="D58" s="6">
        <v>426.16</v>
      </c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426.16</v>
      </c>
      <c r="M58" s="2"/>
      <c r="N58" s="7">
        <f t="shared" si="41"/>
        <v>0</v>
      </c>
      <c r="O58" s="11"/>
      <c r="P58" s="6">
        <v>2441.4299999999998</v>
      </c>
      <c r="Q58" s="2"/>
      <c r="R58" s="7">
        <f t="shared" si="42"/>
        <v>0</v>
      </c>
      <c r="S58" s="2"/>
      <c r="T58" s="6">
        <v>1000</v>
      </c>
      <c r="U58" s="2"/>
      <c r="V58" s="7">
        <f t="shared" si="43"/>
        <v>4.5206730378018678E-3</v>
      </c>
      <c r="W58" s="2"/>
      <c r="X58" s="6">
        <f t="shared" si="44"/>
        <v>1441.4299999999998</v>
      </c>
      <c r="Y58" s="2"/>
      <c r="Z58" s="7">
        <f t="shared" si="45"/>
        <v>1.4414299999999998</v>
      </c>
    </row>
    <row r="59" spans="1:26" s="24" customFormat="1" hidden="1" outlineLevel="2" x14ac:dyDescent="0.3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1526.35</v>
      </c>
      <c r="E59" s="2"/>
      <c r="F59" s="7">
        <f t="shared" si="38"/>
        <v>0</v>
      </c>
      <c r="G59" s="2"/>
      <c r="H59" s="6">
        <v>724</v>
      </c>
      <c r="I59" s="2"/>
      <c r="J59" s="7">
        <f t="shared" si="39"/>
        <v>2.0002210188971158E-2</v>
      </c>
      <c r="K59" s="2"/>
      <c r="L59" s="6">
        <f t="shared" si="40"/>
        <v>802.34999999999991</v>
      </c>
      <c r="M59" s="2"/>
      <c r="N59" s="7">
        <f t="shared" si="41"/>
        <v>1.1082182320441987</v>
      </c>
      <c r="O59" s="11"/>
      <c r="P59" s="6">
        <v>5122.63</v>
      </c>
      <c r="Q59" s="2"/>
      <c r="R59" s="7">
        <f t="shared" si="42"/>
        <v>0</v>
      </c>
      <c r="S59" s="2"/>
      <c r="T59" s="6">
        <v>14375</v>
      </c>
      <c r="U59" s="2"/>
      <c r="V59" s="7">
        <f t="shared" si="43"/>
        <v>6.4984674918401847E-2</v>
      </c>
      <c r="W59" s="2"/>
      <c r="X59" s="6">
        <f t="shared" si="44"/>
        <v>-9252.369999999999</v>
      </c>
      <c r="Y59" s="2"/>
      <c r="Z59" s="7">
        <f t="shared" si="45"/>
        <v>-0.6436431304347825</v>
      </c>
    </row>
    <row r="60" spans="1:26" s="28" customFormat="1" outlineLevel="1" collapsed="1" x14ac:dyDescent="0.3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0</v>
      </c>
      <c r="E60" s="1"/>
      <c r="F60" s="5">
        <f t="shared" ref="F60:F64" si="46">IF(D$12=0,0,D60/D$12)</f>
        <v>0</v>
      </c>
      <c r="G60" s="1"/>
      <c r="H60" s="1">
        <f>SUM(OSRRefH22_9x_0)</f>
        <v>3225</v>
      </c>
      <c r="I60" s="1"/>
      <c r="J60" s="5">
        <f t="shared" ref="J60:J64" si="47">IF(H$12=0,0,H60/H$12)</f>
        <v>8.9098242899767935E-2</v>
      </c>
      <c r="K60" s="1"/>
      <c r="L60" s="1">
        <f t="shared" ref="L60:L64" si="48">+D60-H60</f>
        <v>-3225</v>
      </c>
      <c r="M60" s="1"/>
      <c r="N60" s="5">
        <f t="shared" ref="N60:N64" si="49">IF(H60=0,0,L60/H60)</f>
        <v>-1</v>
      </c>
      <c r="O60" s="14"/>
      <c r="P60" s="1">
        <f>SUM(OSRRefP22_9x_0)</f>
        <v>260</v>
      </c>
      <c r="Q60" s="1"/>
      <c r="R60" s="5">
        <f t="shared" ref="R60:R64" si="50">IF(P$12=0,0,P60/P$12)</f>
        <v>0</v>
      </c>
      <c r="S60" s="1"/>
      <c r="T60" s="1">
        <f>SUM(OSRRefT22_9x_0)</f>
        <v>16425</v>
      </c>
      <c r="U60" s="1"/>
      <c r="V60" s="5">
        <f t="shared" ref="V60:V64" si="51">IF(T$12=0,0,T60/T$12)</f>
        <v>7.4252054645895682E-2</v>
      </c>
      <c r="W60" s="1"/>
      <c r="X60" s="1">
        <f t="shared" ref="X60:X64" si="52">+P60-T60</f>
        <v>-16165</v>
      </c>
      <c r="Y60" s="1"/>
      <c r="Z60" s="5">
        <f t="shared" ref="Z60:Z64" si="53">IF(T60=0,0,X60/T60)</f>
        <v>-0.9841704718417047</v>
      </c>
    </row>
    <row r="61" spans="1:26" s="24" customFormat="1" hidden="1" outlineLevel="2" x14ac:dyDescent="0.3">
      <c r="A61" s="29"/>
      <c r="B61" s="11" t="str">
        <f>CONCATENATE("          ", "6283", " - ", "PLANT SERVICE")</f>
        <v xml:space="preserve">          6283 - PLANT SERVICE</v>
      </c>
      <c r="C61" s="11"/>
      <c r="D61" s="6"/>
      <c r="E61" s="2"/>
      <c r="F61" s="7">
        <f t="shared" si="46"/>
        <v>0</v>
      </c>
      <c r="G61" s="2"/>
      <c r="H61" s="6">
        <v>100</v>
      </c>
      <c r="I61" s="2"/>
      <c r="J61" s="7">
        <f t="shared" si="47"/>
        <v>2.7627362139462926E-3</v>
      </c>
      <c r="K61" s="2"/>
      <c r="L61" s="6">
        <f t="shared" si="48"/>
        <v>-100</v>
      </c>
      <c r="M61" s="2"/>
      <c r="N61" s="7">
        <f t="shared" si="49"/>
        <v>-1</v>
      </c>
      <c r="O61" s="11"/>
      <c r="P61" s="6"/>
      <c r="Q61" s="2"/>
      <c r="R61" s="7">
        <f t="shared" si="50"/>
        <v>0</v>
      </c>
      <c r="S61" s="2"/>
      <c r="T61" s="6">
        <v>600</v>
      </c>
      <c r="U61" s="2"/>
      <c r="V61" s="7">
        <f t="shared" si="51"/>
        <v>2.7124038226811207E-3</v>
      </c>
      <c r="W61" s="2"/>
      <c r="X61" s="6">
        <f t="shared" si="52"/>
        <v>-600</v>
      </c>
      <c r="Y61" s="2"/>
      <c r="Z61" s="7">
        <f t="shared" si="53"/>
        <v>-1</v>
      </c>
    </row>
    <row r="62" spans="1:26" s="24" customFormat="1" hidden="1" outlineLevel="2" x14ac:dyDescent="0.3">
      <c r="A62" s="29"/>
      <c r="B62" s="11" t="str">
        <f>CONCATENATE("          ", "6284", " - ", "TRASH REMOVAL EXPENSE")</f>
        <v xml:space="preserve">          6284 - TRASH REMOVAL EXPENSE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0</v>
      </c>
      <c r="Y62" s="2"/>
      <c r="Z62" s="7">
        <f t="shared" si="53"/>
        <v>0</v>
      </c>
    </row>
    <row r="63" spans="1:26" s="24" customFormat="1" hidden="1" outlineLevel="2" x14ac:dyDescent="0.3">
      <c r="A63" s="29"/>
      <c r="B63" s="11" t="str">
        <f>CONCATENATE("          ", "6285", " - ", "JANITORIAL SERVICES")</f>
        <v xml:space="preserve">          6285 - JANITORIAL SERVICES</v>
      </c>
      <c r="C63" s="11"/>
      <c r="D63" s="6"/>
      <c r="E63" s="2"/>
      <c r="F63" s="7">
        <f t="shared" si="46"/>
        <v>0</v>
      </c>
      <c r="G63" s="2"/>
      <c r="H63" s="6">
        <v>3100</v>
      </c>
      <c r="I63" s="2"/>
      <c r="J63" s="7">
        <f t="shared" si="47"/>
        <v>8.5644822632335069E-2</v>
      </c>
      <c r="K63" s="2"/>
      <c r="L63" s="6">
        <f t="shared" si="48"/>
        <v>-3100</v>
      </c>
      <c r="M63" s="2"/>
      <c r="N63" s="7">
        <f t="shared" si="49"/>
        <v>-1</v>
      </c>
      <c r="O63" s="11"/>
      <c r="P63" s="6">
        <v>260</v>
      </c>
      <c r="Q63" s="2"/>
      <c r="R63" s="7">
        <f t="shared" si="50"/>
        <v>0</v>
      </c>
      <c r="S63" s="2"/>
      <c r="T63" s="6">
        <v>15500</v>
      </c>
      <c r="U63" s="2"/>
      <c r="V63" s="7">
        <f t="shared" si="51"/>
        <v>7.0070432085928946E-2</v>
      </c>
      <c r="W63" s="2"/>
      <c r="X63" s="6">
        <f t="shared" si="52"/>
        <v>-15240</v>
      </c>
      <c r="Y63" s="2"/>
      <c r="Z63" s="7">
        <f t="shared" si="53"/>
        <v>-0.98322580645161295</v>
      </c>
    </row>
    <row r="64" spans="1:26" s="24" customFormat="1" hidden="1" outlineLevel="2" x14ac:dyDescent="0.3">
      <c r="A64" s="29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46"/>
        <v>0</v>
      </c>
      <c r="G64" s="2"/>
      <c r="H64" s="6">
        <v>25</v>
      </c>
      <c r="I64" s="2"/>
      <c r="J64" s="7">
        <f t="shared" si="47"/>
        <v>6.9068405348657314E-4</v>
      </c>
      <c r="K64" s="2"/>
      <c r="L64" s="6">
        <f t="shared" si="48"/>
        <v>-25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325</v>
      </c>
      <c r="U64" s="2"/>
      <c r="V64" s="7">
        <f t="shared" si="51"/>
        <v>1.4692187372856071E-3</v>
      </c>
      <c r="W64" s="2"/>
      <c r="X64" s="6">
        <f t="shared" si="52"/>
        <v>-325</v>
      </c>
      <c r="Y64" s="2"/>
      <c r="Z64" s="7">
        <f t="shared" si="53"/>
        <v>-1</v>
      </c>
    </row>
    <row r="65" spans="1:26" s="28" customFormat="1" outlineLevel="1" collapsed="1" x14ac:dyDescent="0.3">
      <c r="A65" s="27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SUM(OSRRefD22_10x_0)</f>
        <v>635.53</v>
      </c>
      <c r="E65" s="1"/>
      <c r="F65" s="5">
        <f t="shared" ref="F65:F75" si="54">IF(D$12=0,0,D65/D$12)</f>
        <v>0</v>
      </c>
      <c r="G65" s="1"/>
      <c r="H65" s="1">
        <f>SUM(OSRRefH22_10x_0)</f>
        <v>200</v>
      </c>
      <c r="I65" s="1"/>
      <c r="J65" s="5">
        <f t="shared" ref="J65:J75" si="55">IF(H$12=0,0,H65/H$12)</f>
        <v>5.5254724278925851E-3</v>
      </c>
      <c r="K65" s="1"/>
      <c r="L65" s="1">
        <f t="shared" ref="L65:L75" si="56">+D65-H65</f>
        <v>435.53</v>
      </c>
      <c r="M65" s="1"/>
      <c r="N65" s="5">
        <f t="shared" ref="N65:N75" si="57">IF(H65=0,0,L65/H65)</f>
        <v>2.1776499999999999</v>
      </c>
      <c r="O65" s="14"/>
      <c r="P65" s="1">
        <f>SUM(OSRRefP22_10x_0)</f>
        <v>1226.2</v>
      </c>
      <c r="Q65" s="1"/>
      <c r="R65" s="5">
        <f t="shared" ref="R65:R75" si="58">IF(P$12=0,0,P65/P$12)</f>
        <v>0</v>
      </c>
      <c r="S65" s="1"/>
      <c r="T65" s="1">
        <f>SUM(OSRRefT22_10x_0)</f>
        <v>1000</v>
      </c>
      <c r="U65" s="1"/>
      <c r="V65" s="5">
        <f t="shared" ref="V65:V75" si="59">IF(T$12=0,0,T65/T$12)</f>
        <v>4.5206730378018678E-3</v>
      </c>
      <c r="W65" s="1"/>
      <c r="X65" s="1">
        <f t="shared" ref="X65:X75" si="60">+P65-T65</f>
        <v>226.20000000000005</v>
      </c>
      <c r="Y65" s="1"/>
      <c r="Z65" s="5">
        <f t="shared" ref="Z65:Z75" si="61">IF(T65=0,0,X65/T65)</f>
        <v>0.22620000000000004</v>
      </c>
    </row>
    <row r="66" spans="1:26" s="24" customFormat="1" hidden="1" outlineLevel="2" x14ac:dyDescent="0.3">
      <c r="A66" s="29"/>
      <c r="B66" s="11" t="str">
        <f>CONCATENATE("          ", "6275", " - ", "SUBSCRIPTIONS")</f>
        <v xml:space="preserve">          6275 - SUBSCRIPTIONS</v>
      </c>
      <c r="C66" s="11"/>
      <c r="D66" s="6">
        <v>635.53</v>
      </c>
      <c r="E66" s="2"/>
      <c r="F66" s="7">
        <f t="shared" si="54"/>
        <v>0</v>
      </c>
      <c r="G66" s="2"/>
      <c r="H66" s="6">
        <v>200</v>
      </c>
      <c r="I66" s="2"/>
      <c r="J66" s="7">
        <f t="shared" si="55"/>
        <v>5.5254724278925851E-3</v>
      </c>
      <c r="K66" s="2"/>
      <c r="L66" s="6">
        <f t="shared" si="56"/>
        <v>435.53</v>
      </c>
      <c r="M66" s="2"/>
      <c r="N66" s="7">
        <f t="shared" si="57"/>
        <v>2.1776499999999999</v>
      </c>
      <c r="O66" s="11"/>
      <c r="P66" s="6">
        <v>1226.2</v>
      </c>
      <c r="Q66" s="2"/>
      <c r="R66" s="7">
        <f t="shared" si="58"/>
        <v>0</v>
      </c>
      <c r="S66" s="2"/>
      <c r="T66" s="6">
        <v>1000</v>
      </c>
      <c r="U66" s="2"/>
      <c r="V66" s="7">
        <f t="shared" si="59"/>
        <v>4.5206730378018678E-3</v>
      </c>
      <c r="W66" s="2"/>
      <c r="X66" s="6">
        <f t="shared" si="60"/>
        <v>226.20000000000005</v>
      </c>
      <c r="Y66" s="2"/>
      <c r="Z66" s="7">
        <f t="shared" si="61"/>
        <v>0.22620000000000004</v>
      </c>
    </row>
    <row r="67" spans="1:26" s="28" customFormat="1" outlineLevel="1" collapsed="1" x14ac:dyDescent="0.3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SUM(OSRRefD22_11x_0)</f>
        <v>152.01</v>
      </c>
      <c r="E67" s="1"/>
      <c r="F67" s="5">
        <f t="shared" si="54"/>
        <v>0</v>
      </c>
      <c r="G67" s="1"/>
      <c r="H67" s="1">
        <f>SUM(OSRRefH22_11x_0)</f>
        <v>800</v>
      </c>
      <c r="I67" s="1"/>
      <c r="J67" s="5">
        <f t="shared" si="55"/>
        <v>2.210188971157034E-2</v>
      </c>
      <c r="K67" s="1"/>
      <c r="L67" s="1">
        <f t="shared" si="56"/>
        <v>-647.99</v>
      </c>
      <c r="M67" s="1"/>
      <c r="N67" s="5">
        <f t="shared" si="57"/>
        <v>-0.80998749999999997</v>
      </c>
      <c r="O67" s="14"/>
      <c r="P67" s="1">
        <f>SUM(OSRRefP22_11x_0)</f>
        <v>2353.29</v>
      </c>
      <c r="Q67" s="1"/>
      <c r="R67" s="5">
        <f t="shared" si="58"/>
        <v>0</v>
      </c>
      <c r="S67" s="1"/>
      <c r="T67" s="1">
        <f>SUM(OSRRefT22_11x_0)</f>
        <v>9650</v>
      </c>
      <c r="U67" s="1"/>
      <c r="V67" s="5">
        <f t="shared" si="59"/>
        <v>4.3624494814788028E-2</v>
      </c>
      <c r="W67" s="1"/>
      <c r="X67" s="1">
        <f t="shared" si="60"/>
        <v>-7296.71</v>
      </c>
      <c r="Y67" s="1"/>
      <c r="Z67" s="5">
        <f t="shared" si="61"/>
        <v>-0.75613575129533683</v>
      </c>
    </row>
    <row r="68" spans="1:26" s="24" customFormat="1" hidden="1" outlineLevel="2" x14ac:dyDescent="0.3">
      <c r="A68" s="29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54"/>
        <v>0</v>
      </c>
      <c r="G68" s="2"/>
      <c r="H68" s="6">
        <v>175</v>
      </c>
      <c r="I68" s="2"/>
      <c r="J68" s="7">
        <f t="shared" si="55"/>
        <v>4.8347883744060119E-3</v>
      </c>
      <c r="K68" s="2"/>
      <c r="L68" s="6">
        <f t="shared" si="56"/>
        <v>-175</v>
      </c>
      <c r="M68" s="2"/>
      <c r="N68" s="7">
        <f t="shared" si="57"/>
        <v>-1</v>
      </c>
      <c r="O68" s="11"/>
      <c r="P68" s="6"/>
      <c r="Q68" s="2"/>
      <c r="R68" s="7">
        <f t="shared" si="58"/>
        <v>0</v>
      </c>
      <c r="S68" s="2"/>
      <c r="T68" s="6">
        <v>1125</v>
      </c>
      <c r="U68" s="2"/>
      <c r="V68" s="7">
        <f t="shared" si="59"/>
        <v>5.0857571675271013E-3</v>
      </c>
      <c r="W68" s="2"/>
      <c r="X68" s="6">
        <f t="shared" si="60"/>
        <v>-1125</v>
      </c>
      <c r="Y68" s="2"/>
      <c r="Z68" s="7">
        <f t="shared" si="61"/>
        <v>-1</v>
      </c>
    </row>
    <row r="69" spans="1:26" s="24" customFormat="1" hidden="1" outlineLevel="2" x14ac:dyDescent="0.3">
      <c r="A69" s="29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4"/>
        <v>0</v>
      </c>
      <c r="G69" s="2"/>
      <c r="H69" s="6">
        <v>75</v>
      </c>
      <c r="I69" s="2"/>
      <c r="J69" s="7">
        <f t="shared" si="55"/>
        <v>2.0720521604597193E-3</v>
      </c>
      <c r="K69" s="2"/>
      <c r="L69" s="6">
        <f t="shared" si="56"/>
        <v>-75</v>
      </c>
      <c r="M69" s="2"/>
      <c r="N69" s="7">
        <f t="shared" si="57"/>
        <v>-1</v>
      </c>
      <c r="O69" s="11"/>
      <c r="P69" s="6">
        <v>796.76</v>
      </c>
      <c r="Q69" s="2"/>
      <c r="R69" s="7">
        <f t="shared" si="58"/>
        <v>0</v>
      </c>
      <c r="S69" s="2"/>
      <c r="T69" s="6">
        <v>625</v>
      </c>
      <c r="U69" s="2"/>
      <c r="V69" s="7">
        <f t="shared" si="59"/>
        <v>2.8254206486261675E-3</v>
      </c>
      <c r="W69" s="2"/>
      <c r="X69" s="6">
        <f t="shared" si="60"/>
        <v>171.76</v>
      </c>
      <c r="Y69" s="2"/>
      <c r="Z69" s="7">
        <f t="shared" si="61"/>
        <v>0.274816</v>
      </c>
    </row>
    <row r="70" spans="1:26" s="24" customFormat="1" hidden="1" outlineLevel="2" x14ac:dyDescent="0.3">
      <c r="A70" s="29"/>
      <c r="B70" s="11" t="str">
        <f>CONCATENATE("          ", "6239", " - ", "KITCHEN SUPPLIES")</f>
        <v xml:space="preserve">          6239 - KITCHEN SUPPLIES</v>
      </c>
      <c r="C70" s="11"/>
      <c r="D70" s="6">
        <v>117.5</v>
      </c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117.5</v>
      </c>
      <c r="M70" s="2"/>
      <c r="N70" s="7">
        <f t="shared" si="57"/>
        <v>0</v>
      </c>
      <c r="O70" s="11"/>
      <c r="P70" s="6">
        <v>187.12</v>
      </c>
      <c r="Q70" s="2"/>
      <c r="R70" s="7">
        <f t="shared" si="58"/>
        <v>0</v>
      </c>
      <c r="S70" s="2"/>
      <c r="T70" s="6">
        <v>5000</v>
      </c>
      <c r="U70" s="2"/>
      <c r="V70" s="7">
        <f t="shared" si="59"/>
        <v>2.260336518900934E-2</v>
      </c>
      <c r="W70" s="2"/>
      <c r="X70" s="6">
        <f t="shared" si="60"/>
        <v>-4812.88</v>
      </c>
      <c r="Y70" s="2"/>
      <c r="Z70" s="7">
        <f t="shared" si="61"/>
        <v>-0.96257599999999999</v>
      </c>
    </row>
    <row r="71" spans="1:26" s="24" customFormat="1" hidden="1" outlineLevel="2" x14ac:dyDescent="0.3">
      <c r="A71" s="29"/>
      <c r="B71" s="11" t="str">
        <f>CONCATENATE("          ", "6241", " - ", "OFFICE EXPENSE")</f>
        <v xml:space="preserve">          6241 - OFFICE EXPENSE</v>
      </c>
      <c r="C71" s="11"/>
      <c r="D71" s="6">
        <v>34.51</v>
      </c>
      <c r="E71" s="2"/>
      <c r="F71" s="7">
        <f t="shared" si="54"/>
        <v>0</v>
      </c>
      <c r="G71" s="2"/>
      <c r="H71" s="6"/>
      <c r="I71" s="2"/>
      <c r="J71" s="7">
        <f t="shared" si="55"/>
        <v>0</v>
      </c>
      <c r="K71" s="2"/>
      <c r="L71" s="6">
        <f t="shared" si="56"/>
        <v>34.51</v>
      </c>
      <c r="M71" s="2"/>
      <c r="N71" s="7">
        <f t="shared" si="57"/>
        <v>0</v>
      </c>
      <c r="O71" s="11"/>
      <c r="P71" s="6">
        <v>893.22</v>
      </c>
      <c r="Q71" s="2"/>
      <c r="R71" s="7">
        <f t="shared" si="58"/>
        <v>0</v>
      </c>
      <c r="S71" s="2"/>
      <c r="T71" s="6"/>
      <c r="U71" s="2"/>
      <c r="V71" s="7">
        <f t="shared" si="59"/>
        <v>0</v>
      </c>
      <c r="W71" s="2"/>
      <c r="X71" s="6">
        <f t="shared" si="60"/>
        <v>893.22</v>
      </c>
      <c r="Y71" s="2"/>
      <c r="Z71" s="7">
        <f t="shared" si="61"/>
        <v>0</v>
      </c>
    </row>
    <row r="72" spans="1:26" s="24" customFormat="1" hidden="1" outlineLevel="2" x14ac:dyDescent="0.3">
      <c r="A72" s="29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54"/>
        <v>0</v>
      </c>
      <c r="G72" s="2"/>
      <c r="H72" s="6">
        <v>200</v>
      </c>
      <c r="I72" s="2"/>
      <c r="J72" s="7">
        <f t="shared" si="55"/>
        <v>5.5254724278925851E-3</v>
      </c>
      <c r="K72" s="2"/>
      <c r="L72" s="6">
        <f t="shared" si="56"/>
        <v>-200</v>
      </c>
      <c r="M72" s="2"/>
      <c r="N72" s="7">
        <f t="shared" si="57"/>
        <v>-1</v>
      </c>
      <c r="O72" s="11"/>
      <c r="P72" s="6">
        <v>138.19</v>
      </c>
      <c r="Q72" s="2"/>
      <c r="R72" s="7">
        <f t="shared" si="58"/>
        <v>0</v>
      </c>
      <c r="S72" s="2"/>
      <c r="T72" s="6">
        <v>1250</v>
      </c>
      <c r="U72" s="2"/>
      <c r="V72" s="7">
        <f t="shared" si="59"/>
        <v>5.6508412972523349E-3</v>
      </c>
      <c r="W72" s="2"/>
      <c r="X72" s="6">
        <f t="shared" si="60"/>
        <v>-1111.81</v>
      </c>
      <c r="Y72" s="2"/>
      <c r="Z72" s="7">
        <f t="shared" si="61"/>
        <v>-0.88944799999999991</v>
      </c>
    </row>
    <row r="73" spans="1:26" s="24" customFormat="1" hidden="1" outlineLevel="2" x14ac:dyDescent="0.3">
      <c r="A73" s="29"/>
      <c r="B73" s="11" t="str">
        <f>CONCATENATE("          ", "6244", " - ", "SAFETY SUPPLY EXPENSE")</f>
        <v xml:space="preserve">          6244 - SAFETY SUPPLY EXPENSE</v>
      </c>
      <c r="C73" s="11"/>
      <c r="D73" s="6"/>
      <c r="E73" s="2"/>
      <c r="F73" s="7">
        <f t="shared" si="54"/>
        <v>0</v>
      </c>
      <c r="G73" s="2"/>
      <c r="H73" s="6">
        <v>50</v>
      </c>
      <c r="I73" s="2"/>
      <c r="J73" s="7">
        <f t="shared" si="55"/>
        <v>1.3813681069731463E-3</v>
      </c>
      <c r="K73" s="2"/>
      <c r="L73" s="6">
        <f t="shared" si="56"/>
        <v>-50</v>
      </c>
      <c r="M73" s="2"/>
      <c r="N73" s="7">
        <f t="shared" si="57"/>
        <v>-1</v>
      </c>
      <c r="O73" s="11"/>
      <c r="P73" s="6"/>
      <c r="Q73" s="2"/>
      <c r="R73" s="7">
        <f t="shared" si="58"/>
        <v>0</v>
      </c>
      <c r="S73" s="2"/>
      <c r="T73" s="6">
        <v>100</v>
      </c>
      <c r="U73" s="2"/>
      <c r="V73" s="7">
        <f t="shared" si="59"/>
        <v>4.5206730378018678E-4</v>
      </c>
      <c r="W73" s="2"/>
      <c r="X73" s="6">
        <f t="shared" si="60"/>
        <v>-100</v>
      </c>
      <c r="Y73" s="2"/>
      <c r="Z73" s="7">
        <f t="shared" si="61"/>
        <v>-1</v>
      </c>
    </row>
    <row r="74" spans="1:26" s="24" customFormat="1" hidden="1" outlineLevel="2" x14ac:dyDescent="0.3">
      <c r="A74" s="29"/>
      <c r="B74" s="11" t="str">
        <f>CONCATENATE("          ", "6245", " - ", "PRINTING")</f>
        <v xml:space="preserve">          6245 - PRINTING</v>
      </c>
      <c r="C74" s="11"/>
      <c r="D74" s="6"/>
      <c r="E74" s="2"/>
      <c r="F74" s="7">
        <f t="shared" si="54"/>
        <v>0</v>
      </c>
      <c r="G74" s="2"/>
      <c r="H74" s="6">
        <v>50</v>
      </c>
      <c r="I74" s="2"/>
      <c r="J74" s="7">
        <f t="shared" si="55"/>
        <v>1.3813681069731463E-3</v>
      </c>
      <c r="K74" s="2"/>
      <c r="L74" s="6">
        <f t="shared" si="56"/>
        <v>-50</v>
      </c>
      <c r="M74" s="2"/>
      <c r="N74" s="7">
        <f t="shared" si="57"/>
        <v>-1</v>
      </c>
      <c r="O74" s="11"/>
      <c r="P74" s="6">
        <v>338</v>
      </c>
      <c r="Q74" s="2"/>
      <c r="R74" s="7">
        <f t="shared" si="58"/>
        <v>0</v>
      </c>
      <c r="S74" s="2"/>
      <c r="T74" s="6">
        <v>500</v>
      </c>
      <c r="U74" s="2"/>
      <c r="V74" s="7">
        <f t="shared" si="59"/>
        <v>2.2603365189009339E-3</v>
      </c>
      <c r="W74" s="2"/>
      <c r="X74" s="6">
        <f t="shared" si="60"/>
        <v>-162</v>
      </c>
      <c r="Y74" s="2"/>
      <c r="Z74" s="7">
        <f t="shared" si="61"/>
        <v>-0.32400000000000001</v>
      </c>
    </row>
    <row r="75" spans="1:26" s="24" customFormat="1" hidden="1" outlineLevel="2" x14ac:dyDescent="0.3">
      <c r="A75" s="29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54"/>
        <v>0</v>
      </c>
      <c r="G75" s="2"/>
      <c r="H75" s="6">
        <v>250</v>
      </c>
      <c r="I75" s="2"/>
      <c r="J75" s="7">
        <f t="shared" si="55"/>
        <v>6.9068405348657307E-3</v>
      </c>
      <c r="K75" s="2"/>
      <c r="L75" s="6">
        <f t="shared" si="56"/>
        <v>-250</v>
      </c>
      <c r="M75" s="2"/>
      <c r="N75" s="7">
        <f t="shared" si="57"/>
        <v>-1</v>
      </c>
      <c r="O75" s="11"/>
      <c r="P75" s="6"/>
      <c r="Q75" s="2"/>
      <c r="R75" s="7">
        <f t="shared" si="58"/>
        <v>0</v>
      </c>
      <c r="S75" s="2"/>
      <c r="T75" s="6">
        <v>1050</v>
      </c>
      <c r="U75" s="2"/>
      <c r="V75" s="7">
        <f t="shared" si="59"/>
        <v>4.7467066896919614E-3</v>
      </c>
      <c r="W75" s="2"/>
      <c r="X75" s="6">
        <f t="shared" si="60"/>
        <v>-1050</v>
      </c>
      <c r="Y75" s="2"/>
      <c r="Z75" s="7">
        <f t="shared" si="61"/>
        <v>-1</v>
      </c>
    </row>
    <row r="76" spans="1:26" s="28" customFormat="1" outlineLevel="1" collapsed="1" x14ac:dyDescent="0.3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0</v>
      </c>
      <c r="E76" s="1"/>
      <c r="F76" s="5">
        <f t="shared" ref="F76:F78" si="62">IF(D$12=0,0,D76/D$12)</f>
        <v>0</v>
      </c>
      <c r="G76" s="1"/>
      <c r="H76" s="1">
        <f>SUM(OSRRefH22_12x_0)</f>
        <v>75</v>
      </c>
      <c r="I76" s="1"/>
      <c r="J76" s="5">
        <f t="shared" ref="J76:J78" si="63">IF(H$12=0,0,H76/H$12)</f>
        <v>2.0720521604597193E-3</v>
      </c>
      <c r="K76" s="1"/>
      <c r="L76" s="1">
        <f t="shared" ref="L76:L78" si="64">+D76-H76</f>
        <v>-75</v>
      </c>
      <c r="M76" s="1"/>
      <c r="N76" s="5">
        <f t="shared" ref="N76:N78" si="65">IF(H76=0,0,L76/H76)</f>
        <v>-1</v>
      </c>
      <c r="O76" s="14"/>
      <c r="P76" s="1">
        <f>SUM(OSRRefP22_12x_0)</f>
        <v>75</v>
      </c>
      <c r="Q76" s="1"/>
      <c r="R76" s="5">
        <f t="shared" ref="R76:R78" si="66">IF(P$12=0,0,P76/P$12)</f>
        <v>0</v>
      </c>
      <c r="S76" s="1"/>
      <c r="T76" s="1">
        <f>SUM(OSRRefT22_12x_0)</f>
        <v>750</v>
      </c>
      <c r="U76" s="1"/>
      <c r="V76" s="5">
        <f t="shared" ref="V76:V78" si="67">IF(T$12=0,0,T76/T$12)</f>
        <v>3.390504778351401E-3</v>
      </c>
      <c r="W76" s="1"/>
      <c r="X76" s="1">
        <f t="shared" ref="X76:X78" si="68">+P76-T76</f>
        <v>-675</v>
      </c>
      <c r="Y76" s="1"/>
      <c r="Z76" s="5">
        <f t="shared" ref="Z76:Z78" si="69">IF(T76=0,0,X76/T76)</f>
        <v>-0.9</v>
      </c>
    </row>
    <row r="77" spans="1:26" s="24" customFormat="1" hidden="1" outlineLevel="2" x14ac:dyDescent="0.3">
      <c r="A77" s="29"/>
      <c r="B77" s="11" t="str">
        <f>CONCATENATE("          ", "6303", " - ", "DATA PHONE LINES")</f>
        <v xml:space="preserve">          6303 - DATA PHONE LINES</v>
      </c>
      <c r="C77" s="11"/>
      <c r="D77" s="6"/>
      <c r="E77" s="2"/>
      <c r="F77" s="7">
        <f t="shared" si="62"/>
        <v>0</v>
      </c>
      <c r="G77" s="2"/>
      <c r="H77" s="6">
        <v>75</v>
      </c>
      <c r="I77" s="2"/>
      <c r="J77" s="7">
        <f t="shared" si="63"/>
        <v>2.0720521604597193E-3</v>
      </c>
      <c r="K77" s="2"/>
      <c r="L77" s="6">
        <f t="shared" si="64"/>
        <v>-75</v>
      </c>
      <c r="M77" s="2"/>
      <c r="N77" s="7">
        <f t="shared" si="65"/>
        <v>-1</v>
      </c>
      <c r="O77" s="11"/>
      <c r="P77" s="6"/>
      <c r="Q77" s="2"/>
      <c r="R77" s="7">
        <f t="shared" si="66"/>
        <v>0</v>
      </c>
      <c r="S77" s="2"/>
      <c r="T77" s="6">
        <v>450</v>
      </c>
      <c r="U77" s="2"/>
      <c r="V77" s="7">
        <f t="shared" si="67"/>
        <v>2.0343028670108407E-3</v>
      </c>
      <c r="W77" s="2"/>
      <c r="X77" s="6">
        <f t="shared" si="68"/>
        <v>-450</v>
      </c>
      <c r="Y77" s="2"/>
      <c r="Z77" s="7">
        <f t="shared" si="69"/>
        <v>-1</v>
      </c>
    </row>
    <row r="78" spans="1:26" s="24" customFormat="1" hidden="1" outlineLevel="2" x14ac:dyDescent="0.3">
      <c r="A78" s="29"/>
      <c r="B78" s="11" t="str">
        <f>CONCATENATE("          ", "6309", " - ", "TELEPHONE")</f>
        <v xml:space="preserve">          6309 - TELEPHONE</v>
      </c>
      <c r="C78" s="11"/>
      <c r="D78" s="6">
        <v>0</v>
      </c>
      <c r="E78" s="2"/>
      <c r="F78" s="7">
        <f t="shared" si="62"/>
        <v>0</v>
      </c>
      <c r="G78" s="2"/>
      <c r="H78" s="6"/>
      <c r="I78" s="2"/>
      <c r="J78" s="7">
        <f t="shared" si="63"/>
        <v>0</v>
      </c>
      <c r="K78" s="2"/>
      <c r="L78" s="6">
        <f t="shared" si="64"/>
        <v>0</v>
      </c>
      <c r="M78" s="2"/>
      <c r="N78" s="7">
        <f t="shared" si="65"/>
        <v>0</v>
      </c>
      <c r="O78" s="11"/>
      <c r="P78" s="6">
        <v>75</v>
      </c>
      <c r="Q78" s="2"/>
      <c r="R78" s="7">
        <f t="shared" si="66"/>
        <v>0</v>
      </c>
      <c r="S78" s="2"/>
      <c r="T78" s="6">
        <v>300</v>
      </c>
      <c r="U78" s="2"/>
      <c r="V78" s="7">
        <f t="shared" si="67"/>
        <v>1.3562019113405603E-3</v>
      </c>
      <c r="W78" s="2"/>
      <c r="X78" s="6">
        <f t="shared" si="68"/>
        <v>-225</v>
      </c>
      <c r="Y78" s="2"/>
      <c r="Z78" s="7">
        <f t="shared" si="69"/>
        <v>-0.75</v>
      </c>
    </row>
    <row r="79" spans="1:26" s="28" customFormat="1" outlineLevel="1" collapsed="1" x14ac:dyDescent="0.3">
      <c r="A79" s="27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SUM(OSRRefD22_13x_0)</f>
        <v>0</v>
      </c>
      <c r="E79" s="1"/>
      <c r="F79" s="5">
        <f t="shared" ref="F79:F82" si="70">IF(D$12=0,0,D79/D$12)</f>
        <v>0</v>
      </c>
      <c r="G79" s="1"/>
      <c r="H79" s="1">
        <f>SUM(OSRRefH22_13x_0)</f>
        <v>0</v>
      </c>
      <c r="I79" s="1"/>
      <c r="J79" s="5">
        <f t="shared" ref="J79:J82" si="71">IF(H$12=0,0,H79/H$12)</f>
        <v>0</v>
      </c>
      <c r="K79" s="1"/>
      <c r="L79" s="1">
        <f t="shared" ref="L79:L82" si="72">+D79-H79</f>
        <v>0</v>
      </c>
      <c r="M79" s="1"/>
      <c r="N79" s="5">
        <f t="shared" ref="N79:N82" si="73">IF(H79=0,0,L79/H79)</f>
        <v>0</v>
      </c>
      <c r="O79" s="14"/>
      <c r="P79" s="1">
        <f>SUM(OSRRefP22_13x_0)</f>
        <v>0</v>
      </c>
      <c r="Q79" s="1"/>
      <c r="R79" s="5">
        <f t="shared" ref="R79:R82" si="74">IF(P$12=0,0,P79/P$12)</f>
        <v>0</v>
      </c>
      <c r="S79" s="1"/>
      <c r="T79" s="1">
        <f>SUM(OSRRefT22_13x_0)</f>
        <v>200</v>
      </c>
      <c r="U79" s="1"/>
      <c r="V79" s="5">
        <f t="shared" ref="V79:V82" si="75">IF(T$12=0,0,T79/T$12)</f>
        <v>9.0413460756037355E-4</v>
      </c>
      <c r="W79" s="1"/>
      <c r="X79" s="1">
        <f t="shared" ref="X79:X82" si="76">+P79-T79</f>
        <v>-200</v>
      </c>
      <c r="Y79" s="1"/>
      <c r="Z79" s="5">
        <f t="shared" ref="Z79:Z82" si="77">IF(T79=0,0,X79/T79)</f>
        <v>-1</v>
      </c>
    </row>
    <row r="80" spans="1:26" s="24" customFormat="1" hidden="1" outlineLevel="2" x14ac:dyDescent="0.3">
      <c r="A80" s="29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70"/>
        <v>0</v>
      </c>
      <c r="G80" s="2"/>
      <c r="H80" s="6"/>
      <c r="I80" s="2"/>
      <c r="J80" s="7">
        <f t="shared" si="71"/>
        <v>0</v>
      </c>
      <c r="K80" s="2"/>
      <c r="L80" s="6">
        <f t="shared" si="72"/>
        <v>0</v>
      </c>
      <c r="M80" s="2"/>
      <c r="N80" s="7">
        <f t="shared" si="73"/>
        <v>0</v>
      </c>
      <c r="O80" s="11"/>
      <c r="P80" s="6"/>
      <c r="Q80" s="2"/>
      <c r="R80" s="7">
        <f t="shared" si="74"/>
        <v>0</v>
      </c>
      <c r="S80" s="2"/>
      <c r="T80" s="6">
        <v>200</v>
      </c>
      <c r="U80" s="2"/>
      <c r="V80" s="7">
        <f t="shared" si="75"/>
        <v>9.0413460756037355E-4</v>
      </c>
      <c r="W80" s="2"/>
      <c r="X80" s="6">
        <f t="shared" si="76"/>
        <v>-200</v>
      </c>
      <c r="Y80" s="2"/>
      <c r="Z80" s="7">
        <f t="shared" si="77"/>
        <v>-1</v>
      </c>
    </row>
    <row r="81" spans="1:26" s="28" customFormat="1" outlineLevel="1" collapsed="1" x14ac:dyDescent="0.3">
      <c r="A81" s="27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SUM(OSRRefD22_14x_0)</f>
        <v>0</v>
      </c>
      <c r="E81" s="1"/>
      <c r="F81" s="5">
        <f t="shared" si="70"/>
        <v>0</v>
      </c>
      <c r="G81" s="1"/>
      <c r="H81" s="1">
        <f>SUM(OSRRefH22_14x_0)</f>
        <v>500</v>
      </c>
      <c r="I81" s="1"/>
      <c r="J81" s="5">
        <f t="shared" si="71"/>
        <v>1.3813681069731461E-2</v>
      </c>
      <c r="K81" s="1"/>
      <c r="L81" s="1">
        <f t="shared" si="72"/>
        <v>-500</v>
      </c>
      <c r="M81" s="1"/>
      <c r="N81" s="5">
        <f t="shared" si="73"/>
        <v>-1</v>
      </c>
      <c r="O81" s="14"/>
      <c r="P81" s="1">
        <f>SUM(OSRRefP22_14x_0)</f>
        <v>0</v>
      </c>
      <c r="Q81" s="1"/>
      <c r="R81" s="5">
        <f t="shared" si="74"/>
        <v>0</v>
      </c>
      <c r="S81" s="1"/>
      <c r="T81" s="1">
        <f>SUM(OSRRefT22_14x_0)</f>
        <v>3000</v>
      </c>
      <c r="U81" s="1"/>
      <c r="V81" s="5">
        <f t="shared" si="75"/>
        <v>1.3562019113405604E-2</v>
      </c>
      <c r="W81" s="1"/>
      <c r="X81" s="1">
        <f t="shared" si="76"/>
        <v>-3000</v>
      </c>
      <c r="Y81" s="1"/>
      <c r="Z81" s="5">
        <f t="shared" si="77"/>
        <v>-1</v>
      </c>
    </row>
    <row r="82" spans="1:26" s="24" customFormat="1" hidden="1" outlineLevel="2" x14ac:dyDescent="0.3">
      <c r="A82" s="29"/>
      <c r="B82" s="11" t="str">
        <f>CONCATENATE("          ", "6274", " - ", "UTILITIES")</f>
        <v xml:space="preserve">          6274 - UTILITIES</v>
      </c>
      <c r="C82" s="11"/>
      <c r="D82" s="6"/>
      <c r="E82" s="2"/>
      <c r="F82" s="7">
        <f t="shared" si="70"/>
        <v>0</v>
      </c>
      <c r="G82" s="2"/>
      <c r="H82" s="6">
        <v>500</v>
      </c>
      <c r="I82" s="2"/>
      <c r="J82" s="7">
        <f t="shared" si="71"/>
        <v>1.3813681069731461E-2</v>
      </c>
      <c r="K82" s="2"/>
      <c r="L82" s="6">
        <f t="shared" si="72"/>
        <v>-500</v>
      </c>
      <c r="M82" s="2"/>
      <c r="N82" s="7">
        <f t="shared" si="73"/>
        <v>-1</v>
      </c>
      <c r="O82" s="11"/>
      <c r="P82" s="6"/>
      <c r="Q82" s="2"/>
      <c r="R82" s="7">
        <f t="shared" si="74"/>
        <v>0</v>
      </c>
      <c r="S82" s="2"/>
      <c r="T82" s="6">
        <v>3000</v>
      </c>
      <c r="U82" s="2"/>
      <c r="V82" s="7">
        <f t="shared" si="75"/>
        <v>1.3562019113405604E-2</v>
      </c>
      <c r="W82" s="2"/>
      <c r="X82" s="6">
        <f t="shared" si="76"/>
        <v>-3000</v>
      </c>
      <c r="Y82" s="2"/>
      <c r="Z82" s="7">
        <f t="shared" si="77"/>
        <v>-1</v>
      </c>
    </row>
    <row r="83" spans="1:26" s="55" customFormat="1" x14ac:dyDescent="0.3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3">
      <c r="A84" s="10"/>
      <c r="B84" s="25" t="s">
        <v>293</v>
      </c>
      <c r="C84" s="10"/>
      <c r="D84" s="4">
        <f>SUM(OSRRefD25x_0)</f>
        <v>0</v>
      </c>
      <c r="E84" s="4"/>
      <c r="F84" s="12">
        <f t="shared" ref="F84:F85" si="78">IF(D$12=0,0,D84/D$12)</f>
        <v>0</v>
      </c>
      <c r="G84" s="4"/>
      <c r="H84" s="4">
        <f>SUM(OSRRefH25x_0)</f>
        <v>0</v>
      </c>
      <c r="I84" s="4"/>
      <c r="J84" s="12">
        <f t="shared" ref="J84:J85" si="79">IF(H$12=0,0,H84/H$12)</f>
        <v>0</v>
      </c>
      <c r="K84" s="4"/>
      <c r="L84" s="4">
        <f t="shared" ref="L84:L85" si="80">+D84-H84</f>
        <v>0</v>
      </c>
      <c r="M84" s="4"/>
      <c r="N84" s="12">
        <f t="shared" ref="N84:N85" si="81">IF(H84=0,0,L84/H84)</f>
        <v>0</v>
      </c>
      <c r="O84" s="10"/>
      <c r="P84" s="4">
        <f>SUM(OSRRefP25x_0)</f>
        <v>341.5</v>
      </c>
      <c r="Q84" s="4"/>
      <c r="R84" s="12">
        <f t="shared" ref="R84:R85" si="82">IF(P$12=0,0,P84/P$12)</f>
        <v>0</v>
      </c>
      <c r="S84" s="4"/>
      <c r="T84" s="4">
        <f>SUM(OSRRefT25x_0)</f>
        <v>0</v>
      </c>
      <c r="U84" s="4"/>
      <c r="V84" s="12">
        <f t="shared" ref="V84:V85" si="83">IF(T$12=0,0,T84/T$12)</f>
        <v>0</v>
      </c>
      <c r="W84" s="4"/>
      <c r="X84" s="4">
        <f t="shared" ref="X84:X85" si="84">+P84-T84</f>
        <v>341.5</v>
      </c>
      <c r="Y84" s="4"/>
      <c r="Z84" s="12">
        <f t="shared" ref="Z84:Z85" si="85">IF(T84=0,0,X84/T84)</f>
        <v>0</v>
      </c>
    </row>
    <row r="85" spans="1:26" s="24" customFormat="1" hidden="1" outlineLevel="1" x14ac:dyDescent="0.3">
      <c r="A85" s="44"/>
      <c r="B85" s="11" t="str">
        <f>CONCATENATE("          ", "9150", " - ", "MISC. INCOME")</f>
        <v xml:space="preserve">          9150 - MISC. INCOME</v>
      </c>
      <c r="C85" s="11"/>
      <c r="D85" s="2">
        <f>0</f>
        <v>0</v>
      </c>
      <c r="E85" s="2"/>
      <c r="F85" s="19">
        <f t="shared" si="78"/>
        <v>0</v>
      </c>
      <c r="G85" s="2"/>
      <c r="H85" s="2"/>
      <c r="I85" s="2"/>
      <c r="J85" s="19">
        <f t="shared" si="79"/>
        <v>0</v>
      </c>
      <c r="K85" s="2"/>
      <c r="L85" s="2">
        <f t="shared" si="80"/>
        <v>0</v>
      </c>
      <c r="M85" s="2"/>
      <c r="N85" s="19">
        <f t="shared" si="81"/>
        <v>0</v>
      </c>
      <c r="O85" s="11"/>
      <c r="P85" s="2">
        <f>--341.5</f>
        <v>341.5</v>
      </c>
      <c r="Q85" s="2"/>
      <c r="R85" s="19">
        <f t="shared" si="82"/>
        <v>0</v>
      </c>
      <c r="S85" s="2"/>
      <c r="T85" s="2"/>
      <c r="U85" s="2"/>
      <c r="V85" s="19">
        <f t="shared" si="83"/>
        <v>0</v>
      </c>
      <c r="W85" s="2"/>
      <c r="X85" s="2">
        <f t="shared" si="84"/>
        <v>341.5</v>
      </c>
      <c r="Y85" s="2"/>
      <c r="Z85" s="19">
        <f t="shared" si="85"/>
        <v>0</v>
      </c>
    </row>
    <row r="86" spans="1:26" x14ac:dyDescent="0.3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">
      <c r="A87" s="10"/>
      <c r="B87" s="26" t="s">
        <v>277</v>
      </c>
      <c r="C87" s="26"/>
      <c r="D87" s="20">
        <f>+D20-D22+D84</f>
        <v>-17648.239999999998</v>
      </c>
      <c r="E87" s="13"/>
      <c r="F87" s="22">
        <f>IF(D$12=0,0,D87/D$12)</f>
        <v>0</v>
      </c>
      <c r="G87" s="13"/>
      <c r="H87" s="20">
        <f>+H20-H22+H84</f>
        <v>-8583.9984361538518</v>
      </c>
      <c r="I87" s="13"/>
      <c r="J87" s="22">
        <f>IF(H$12=0,0,H87/H$12)</f>
        <v>-0.23715323340020589</v>
      </c>
      <c r="K87" s="16"/>
      <c r="L87" s="20">
        <f>+D87-H87</f>
        <v>-9064.2415638461462</v>
      </c>
      <c r="M87" s="16"/>
      <c r="N87" s="22">
        <f>IF(H87=0,0,L87/H87)</f>
        <v>1.0559463205013668</v>
      </c>
      <c r="O87" s="25"/>
      <c r="P87" s="20">
        <f>+P20-P22+P84</f>
        <v>-103272.37</v>
      </c>
      <c r="Q87" s="13"/>
      <c r="R87" s="22">
        <f>IF(P$12=0,0,P87/P$12)</f>
        <v>0</v>
      </c>
      <c r="S87" s="13"/>
      <c r="T87" s="20">
        <f>+T20-T22+T84</f>
        <v>-80493.032397692325</v>
      </c>
      <c r="U87" s="13"/>
      <c r="V87" s="22">
        <f>IF(T$12=0,0,T87/T$12)</f>
        <v>-0.36388268129115992</v>
      </c>
      <c r="W87" s="16"/>
      <c r="X87" s="20">
        <f>+P87-T87</f>
        <v>-22779.337602307671</v>
      </c>
      <c r="Y87" s="16"/>
      <c r="Z87" s="22">
        <f>IF(T87=0,0,X87/T87)</f>
        <v>0.28299763251260912</v>
      </c>
    </row>
    <row r="88" spans="1:26" x14ac:dyDescent="0.3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52"/>
      <c r="B89" s="10" t="s">
        <v>128</v>
      </c>
      <c r="C89" s="10"/>
      <c r="D89" s="4"/>
      <c r="E89" s="4"/>
      <c r="F89" s="12">
        <f>IF(D$12=0,0,D89/D$12)</f>
        <v>0</v>
      </c>
      <c r="G89" s="4"/>
      <c r="H89" s="4">
        <v>5511</v>
      </c>
      <c r="I89" s="4"/>
      <c r="J89" s="12">
        <f>IF(H$12=0,0,H89/H$12)</f>
        <v>0.15225439275058017</v>
      </c>
      <c r="K89" s="4"/>
      <c r="L89" s="4">
        <f>+D89-H89</f>
        <v>-5511</v>
      </c>
      <c r="M89" s="4"/>
      <c r="N89" s="12">
        <f>IF(H89=0,0,L89/H89)</f>
        <v>-1</v>
      </c>
      <c r="O89" s="10"/>
      <c r="P89" s="4"/>
      <c r="Q89" s="4"/>
      <c r="R89" s="12">
        <f>IF(P$12=0,0,P89/P$12)</f>
        <v>0</v>
      </c>
      <c r="S89" s="4"/>
      <c r="T89" s="4">
        <v>28639</v>
      </c>
      <c r="U89" s="4"/>
      <c r="V89" s="12">
        <f>IF(T$12=0,0,T89/T$12)</f>
        <v>0.1294675551296077</v>
      </c>
      <c r="W89" s="4"/>
      <c r="X89" s="4">
        <f>+P89-T89</f>
        <v>-28639</v>
      </c>
      <c r="Y89" s="4"/>
      <c r="Z89" s="12">
        <f>IF(T89=0,0,X89/T89)</f>
        <v>-1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126</v>
      </c>
      <c r="C91" s="26"/>
      <c r="D91" s="31">
        <f>+D87-D89</f>
        <v>-17648.239999999998</v>
      </c>
      <c r="E91" s="13"/>
      <c r="F91" s="30">
        <f>IF(D$12=0,0,D91/D$12)</f>
        <v>0</v>
      </c>
      <c r="G91" s="13"/>
      <c r="H91" s="31">
        <f>+H87-H89</f>
        <v>-14094.998436153852</v>
      </c>
      <c r="I91" s="13"/>
      <c r="J91" s="30">
        <f>IF(H$12=0,0,H91/H$12)</f>
        <v>-0.38940762615078606</v>
      </c>
      <c r="K91" s="16"/>
      <c r="L91" s="31">
        <f>D91-H91</f>
        <v>-3553.2415638461462</v>
      </c>
      <c r="M91" s="16"/>
      <c r="N91" s="30">
        <f>IF(H91=0,0,L91/H91)</f>
        <v>0.25209237020786296</v>
      </c>
      <c r="O91" s="25"/>
      <c r="P91" s="31">
        <f>+P87-P89</f>
        <v>-103272.37</v>
      </c>
      <c r="Q91" s="13"/>
      <c r="R91" s="30">
        <f>IF(P$12=0,0,P91/P$12)</f>
        <v>0</v>
      </c>
      <c r="S91" s="13"/>
      <c r="T91" s="31">
        <f>+T87-T89</f>
        <v>-109132.03239769232</v>
      </c>
      <c r="U91" s="13"/>
      <c r="V91" s="30">
        <f>IF(T$12=0,0,T91/T$12)</f>
        <v>-0.49335023642076764</v>
      </c>
      <c r="W91" s="16"/>
      <c r="X91" s="31">
        <f>P91-T91</f>
        <v>5859.6623976923293</v>
      </c>
      <c r="Y91" s="16"/>
      <c r="Z91" s="30">
        <f>IF(T91=0,0,X91/T91)</f>
        <v>-5.369333154484747E-2</v>
      </c>
    </row>
    <row r="92" spans="1:26" ht="15" thickTop="1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35">
      <c r="A94" s="10"/>
      <c r="B94" s="26" t="s">
        <v>294</v>
      </c>
      <c r="C94" s="26"/>
      <c r="D94" s="35">
        <f>SUM(D91:D93)</f>
        <v>-17648.239999999998</v>
      </c>
      <c r="E94" s="13"/>
      <c r="F94" s="34">
        <f>IF(D$12=0,0,D94/D$12)</f>
        <v>0</v>
      </c>
      <c r="G94" s="13"/>
      <c r="H94" s="35">
        <f>SUM(H91:H93)</f>
        <v>-14094.998436153852</v>
      </c>
      <c r="I94" s="13"/>
      <c r="J94" s="34">
        <f>IF(H$12=0,0,H94/H$12)</f>
        <v>-0.38940762615078606</v>
      </c>
      <c r="K94" s="16"/>
      <c r="L94" s="35">
        <f>+D94-H94</f>
        <v>-3553.2415638461462</v>
      </c>
      <c r="M94" s="16"/>
      <c r="N94" s="34">
        <f>IF(H94=0,0,L94/H94)</f>
        <v>0.25209237020786296</v>
      </c>
      <c r="O94" s="25"/>
      <c r="P94" s="35">
        <f>SUM(P91:P93)</f>
        <v>-103272.37</v>
      </c>
      <c r="Q94" s="13"/>
      <c r="R94" s="34">
        <f>IF(P$12=0,0,P94/P$12)</f>
        <v>0</v>
      </c>
      <c r="S94" s="13"/>
      <c r="T94" s="35">
        <f>SUM(T91:T93)</f>
        <v>-109132.03239769232</v>
      </c>
      <c r="U94" s="13"/>
      <c r="V94" s="34">
        <f>IF(T$12=0,0,T94/T$12)</f>
        <v>-0.49335023642076764</v>
      </c>
      <c r="W94" s="16"/>
      <c r="X94" s="35">
        <f>+P94-T94</f>
        <v>5859.6623976923293</v>
      </c>
      <c r="Y94" s="16"/>
      <c r="Z94" s="34">
        <f>IF(T94=0,0,X94/T94)</f>
        <v>-5.369333154484747E-2</v>
      </c>
    </row>
    <row r="95" spans="1:26" ht="15" thickTop="1" x14ac:dyDescent="0.3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61">
        <v>44575.842125659721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3">
      <c r="A97" s="9"/>
      <c r="B97" s="62" t="s">
        <v>56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A98" s="9"/>
      <c r="B98" s="53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3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218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","423", " - ", "Contract/Vending Revenue")</f>
        <v>Department 423 - Contract/Vending Revenue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36</v>
      </c>
      <c r="E18" s="21"/>
      <c r="F18" s="32">
        <f t="shared" ref="F18:F27" si="0">IF(D$12=0,0,D18/D$12)</f>
        <v>0</v>
      </c>
      <c r="G18" s="21"/>
      <c r="H18" s="21">
        <f>SUM(OSRRefH22x_0)</f>
        <v>0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36</v>
      </c>
      <c r="M18" s="4"/>
      <c r="N18" s="32">
        <f t="shared" ref="N18:N27" si="3">IF(H18=0,0,L18/H18)</f>
        <v>0</v>
      </c>
      <c r="O18" s="10"/>
      <c r="P18" s="21">
        <f>SUM(OSRRefP22x_0)</f>
        <v>8124.05</v>
      </c>
      <c r="Q18" s="21"/>
      <c r="R18" s="32">
        <f t="shared" ref="R18:R27" si="4">IF(P$12=0,0,P18/P$12)</f>
        <v>0</v>
      </c>
      <c r="S18" s="21"/>
      <c r="T18" s="21">
        <f>SUM(OSRRefT22x_0)</f>
        <v>0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8124.05</v>
      </c>
      <c r="Y18" s="4"/>
      <c r="Z18" s="32">
        <f t="shared" ref="Z18:Z27" si="7">IF(T18=0,0,X18/T18)</f>
        <v>0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0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0</v>
      </c>
      <c r="U20" s="2"/>
      <c r="V20" s="7">
        <f t="shared" si="5"/>
        <v>0</v>
      </c>
      <c r="W20" s="2"/>
      <c r="X20" s="6">
        <f t="shared" si="6"/>
        <v>0</v>
      </c>
      <c r="Y20" s="2"/>
      <c r="Z20" s="7">
        <f t="shared" si="7"/>
        <v>0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0</v>
      </c>
      <c r="Y21" s="2"/>
      <c r="Z21" s="7">
        <f t="shared" si="7"/>
        <v>0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0</v>
      </c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/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0</v>
      </c>
      <c r="Y23" s="2"/>
      <c r="Z23" s="7">
        <f t="shared" si="7"/>
        <v>0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28" customFormat="1" outlineLevel="1" collapsed="1" x14ac:dyDescent="0.3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0</v>
      </c>
      <c r="M28" s="1"/>
      <c r="N28" s="5">
        <f t="shared" ref="N28:N38" si="11">IF(H28=0,0,L28/H28)</f>
        <v>0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0</v>
      </c>
      <c r="Y28" s="1"/>
      <c r="Z28" s="5">
        <f t="shared" ref="Z28:Z38" si="15">IF(T28=0,0,X28/T28)</f>
        <v>0</v>
      </c>
    </row>
    <row r="29" spans="1:26" s="24" customFormat="1" hidden="1" outlineLevel="2" x14ac:dyDescent="0.3">
      <c r="A29" s="29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0</v>
      </c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4" customFormat="1" hidden="1" outlineLevel="2" x14ac:dyDescent="0.3">
      <c r="A30" s="29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3">
      <c r="A32" s="29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8" customFormat="1" outlineLevel="1" collapsed="1" x14ac:dyDescent="0.3">
      <c r="A39" s="27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6" si="16">IF(D$12=0,0,D39/D$12)</f>
        <v>0</v>
      </c>
      <c r="G39" s="1"/>
      <c r="H39" s="1">
        <f>SUM(OSRRefH22_2x_0)</f>
        <v>0</v>
      </c>
      <c r="I39" s="1"/>
      <c r="J39" s="5">
        <f t="shared" ref="J39:J46" si="17">IF(H$12=0,0,H39/H$12)</f>
        <v>0</v>
      </c>
      <c r="K39" s="1"/>
      <c r="L39" s="1">
        <f t="shared" ref="L39:L46" si="18">+D39-H39</f>
        <v>0</v>
      </c>
      <c r="M39" s="1"/>
      <c r="N39" s="5">
        <f t="shared" ref="N39:N46" si="19">IF(H39=0,0,L39/H39)</f>
        <v>0</v>
      </c>
      <c r="O39" s="14"/>
      <c r="P39" s="1">
        <f>SUM(OSRRefP22_2x_0)</f>
        <v>7489.93</v>
      </c>
      <c r="Q39" s="1"/>
      <c r="R39" s="5">
        <f t="shared" ref="R39:R46" si="20">IF(P$12=0,0,P39/P$12)</f>
        <v>0</v>
      </c>
      <c r="S39" s="1"/>
      <c r="T39" s="1">
        <f>SUM(OSRRefT22_2x_0)</f>
        <v>0</v>
      </c>
      <c r="U39" s="1"/>
      <c r="V39" s="5">
        <f t="shared" ref="V39:V46" si="21">IF(T$12=0,0,T39/T$12)</f>
        <v>0</v>
      </c>
      <c r="W39" s="1"/>
      <c r="X39" s="1">
        <f t="shared" ref="X39:X46" si="22">+P39-T39</f>
        <v>7489.93</v>
      </c>
      <c r="Y39" s="1"/>
      <c r="Z39" s="5">
        <f t="shared" ref="Z39:Z46" si="23">IF(T39=0,0,X39/T39)</f>
        <v>0</v>
      </c>
    </row>
    <row r="40" spans="1:26" s="24" customFormat="1" hidden="1" outlineLevel="2" x14ac:dyDescent="0.3">
      <c r="A40" s="29"/>
      <c r="B40" s="11" t="str">
        <f>CONCATENATE("          ", "6279", " - ", "GENERAL EXPENSE")</f>
        <v xml:space="preserve">          6279 - GENERAL EXPENSE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7489.93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7489.93</v>
      </c>
      <c r="Y40" s="2"/>
      <c r="Z40" s="7">
        <f t="shared" si="23"/>
        <v>0</v>
      </c>
    </row>
    <row r="41" spans="1:26" s="28" customFormat="1" outlineLevel="1" collapsed="1" x14ac:dyDescent="0.3">
      <c r="A41" s="27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3">
      <c r="A42" s="29"/>
      <c r="B42" s="11" t="str">
        <f>CONCATENATE("          ", "6284", " - ", "TRASH REMOVAL EXPENSE")</f>
        <v xml:space="preserve">          6284 - TRASH REMOVAL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0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8" customFormat="1" outlineLevel="1" collapsed="1" x14ac:dyDescent="0.3">
      <c r="A43" s="27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SUM(OSRRefD22_4x_0)</f>
        <v>0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SUM(OSRRefP22_4x_0)</f>
        <v>520.62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520.62</v>
      </c>
      <c r="Y43" s="1"/>
      <c r="Z43" s="5">
        <f t="shared" si="23"/>
        <v>0</v>
      </c>
    </row>
    <row r="44" spans="1:26" s="24" customFormat="1" hidden="1" outlineLevel="2" x14ac:dyDescent="0.3">
      <c r="A44" s="29"/>
      <c r="B44" s="11" t="str">
        <f>CONCATENATE("          ", "6241", " - ", "OFFICE EXPENSE")</f>
        <v xml:space="preserve">          6241 - OFFICE EXPENSE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520.62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520.62</v>
      </c>
      <c r="Y44" s="2"/>
      <c r="Z44" s="7">
        <f t="shared" si="23"/>
        <v>0</v>
      </c>
    </row>
    <row r="45" spans="1:26" s="28" customFormat="1" outlineLevel="1" collapsed="1" x14ac:dyDescent="0.3">
      <c r="A45" s="27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SUM(OSRRefD22_5x_0)</f>
        <v>36</v>
      </c>
      <c r="E45" s="1"/>
      <c r="F45" s="5">
        <f t="shared" si="16"/>
        <v>0</v>
      </c>
      <c r="G45" s="1"/>
      <c r="H45" s="1">
        <f>SUM(OSRRefH22_5x_0)</f>
        <v>0</v>
      </c>
      <c r="I45" s="1"/>
      <c r="J45" s="5">
        <f t="shared" si="17"/>
        <v>0</v>
      </c>
      <c r="K45" s="1"/>
      <c r="L45" s="1">
        <f t="shared" si="18"/>
        <v>36</v>
      </c>
      <c r="M45" s="1"/>
      <c r="N45" s="5">
        <f t="shared" si="19"/>
        <v>0</v>
      </c>
      <c r="O45" s="14"/>
      <c r="P45" s="1">
        <f>SUM(OSRRefP22_5x_0)</f>
        <v>113.5</v>
      </c>
      <c r="Q45" s="1"/>
      <c r="R45" s="5">
        <f t="shared" si="20"/>
        <v>0</v>
      </c>
      <c r="S45" s="1"/>
      <c r="T45" s="1">
        <f>SUM(OSRRefT22_5x_0)</f>
        <v>0</v>
      </c>
      <c r="U45" s="1"/>
      <c r="V45" s="5">
        <f t="shared" si="21"/>
        <v>0</v>
      </c>
      <c r="W45" s="1"/>
      <c r="X45" s="1">
        <f t="shared" si="22"/>
        <v>113.5</v>
      </c>
      <c r="Y45" s="1"/>
      <c r="Z45" s="5">
        <f t="shared" si="23"/>
        <v>0</v>
      </c>
    </row>
    <row r="46" spans="1:26" s="24" customFormat="1" hidden="1" outlineLevel="2" x14ac:dyDescent="0.3">
      <c r="A46" s="29"/>
      <c r="B46" s="11" t="str">
        <f>CONCATENATE("          ", "6309", " - ", "TELEPHONE")</f>
        <v xml:space="preserve">          6309 - TELEPHONE</v>
      </c>
      <c r="C46" s="11"/>
      <c r="D46" s="6">
        <v>36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36</v>
      </c>
      <c r="M46" s="2"/>
      <c r="N46" s="7">
        <f t="shared" si="19"/>
        <v>0</v>
      </c>
      <c r="O46" s="11"/>
      <c r="P46" s="6">
        <v>113.5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113.5</v>
      </c>
      <c r="Y46" s="2"/>
      <c r="Z46" s="7">
        <f t="shared" si="23"/>
        <v>0</v>
      </c>
    </row>
    <row r="47" spans="1:26" s="55" customFormat="1" x14ac:dyDescent="0.3">
      <c r="A47" s="36"/>
      <c r="B47" s="36"/>
      <c r="C47" s="36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collapsed="1" x14ac:dyDescent="0.3">
      <c r="A48" s="10"/>
      <c r="B48" s="25" t="s">
        <v>293</v>
      </c>
      <c r="C48" s="10"/>
      <c r="D48" s="4">
        <f>SUM(OSRRefD25x_0)</f>
        <v>93856.21</v>
      </c>
      <c r="E48" s="4"/>
      <c r="F48" s="12">
        <f t="shared" ref="F48:F49" si="24">IF(D$12=0,0,D48/D$12)</f>
        <v>0</v>
      </c>
      <c r="G48" s="4"/>
      <c r="H48" s="4">
        <f>SUM(OSRRefH25x_0)</f>
        <v>250</v>
      </c>
      <c r="I48" s="4"/>
      <c r="J48" s="12">
        <f t="shared" ref="J48:J49" si="25">IF(H$12=0,0,H48/H$12)</f>
        <v>0</v>
      </c>
      <c r="K48" s="4"/>
      <c r="L48" s="4">
        <f t="shared" ref="L48:L49" si="26">+D48-H48</f>
        <v>93606.21</v>
      </c>
      <c r="M48" s="4"/>
      <c r="N48" s="12">
        <f t="shared" ref="N48:N49" si="27">IF(H48=0,0,L48/H48)</f>
        <v>374.42484000000002</v>
      </c>
      <c r="O48" s="10"/>
      <c r="P48" s="4">
        <f>SUM(OSRRefP25x_0)</f>
        <v>119792.78</v>
      </c>
      <c r="Q48" s="4"/>
      <c r="R48" s="12">
        <f t="shared" ref="R48:R49" si="28">IF(P$12=0,0,P48/P$12)</f>
        <v>0</v>
      </c>
      <c r="S48" s="4"/>
      <c r="T48" s="4">
        <f>SUM(OSRRefT25x_0)</f>
        <v>1000</v>
      </c>
      <c r="U48" s="4"/>
      <c r="V48" s="12">
        <f t="shared" ref="V48:V49" si="29">IF(T$12=0,0,T48/T$12)</f>
        <v>0</v>
      </c>
      <c r="W48" s="4"/>
      <c r="X48" s="4">
        <f t="shared" ref="X48:X49" si="30">+P48-T48</f>
        <v>118792.78</v>
      </c>
      <c r="Y48" s="4"/>
      <c r="Z48" s="12">
        <f t="shared" ref="Z48:Z49" si="31">IF(T48=0,0,X48/T48)</f>
        <v>118.79277999999999</v>
      </c>
    </row>
    <row r="49" spans="1:26" s="24" customFormat="1" hidden="1" outlineLevel="1" x14ac:dyDescent="0.3">
      <c r="A49" s="44"/>
      <c r="B49" s="11" t="str">
        <f>CONCATENATE("          ", "9150", " - ", "MISC. INCOME")</f>
        <v xml:space="preserve">          9150 - MISC. INCOME</v>
      </c>
      <c r="C49" s="11"/>
      <c r="D49" s="2">
        <f>--93856.21</f>
        <v>93856.21</v>
      </c>
      <c r="E49" s="2"/>
      <c r="F49" s="19">
        <f t="shared" si="24"/>
        <v>0</v>
      </c>
      <c r="G49" s="2"/>
      <c r="H49" s="2">
        <v>250</v>
      </c>
      <c r="I49" s="2"/>
      <c r="J49" s="19">
        <f t="shared" si="25"/>
        <v>0</v>
      </c>
      <c r="K49" s="2"/>
      <c r="L49" s="2">
        <f t="shared" si="26"/>
        <v>93606.21</v>
      </c>
      <c r="M49" s="2"/>
      <c r="N49" s="19">
        <f t="shared" si="27"/>
        <v>374.42484000000002</v>
      </c>
      <c r="O49" s="11"/>
      <c r="P49" s="2">
        <f>--119792.78</f>
        <v>119792.78</v>
      </c>
      <c r="Q49" s="2"/>
      <c r="R49" s="19">
        <f t="shared" si="28"/>
        <v>0</v>
      </c>
      <c r="S49" s="2"/>
      <c r="T49" s="2">
        <v>1000</v>
      </c>
      <c r="U49" s="2"/>
      <c r="V49" s="19">
        <f t="shared" si="29"/>
        <v>0</v>
      </c>
      <c r="W49" s="2"/>
      <c r="X49" s="2">
        <f t="shared" si="30"/>
        <v>118792.78</v>
      </c>
      <c r="Y49" s="2"/>
      <c r="Z49" s="19">
        <f t="shared" si="31"/>
        <v>118.79277999999999</v>
      </c>
    </row>
    <row r="50" spans="1:26" x14ac:dyDescent="0.3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3">
      <c r="A51" s="10"/>
      <c r="B51" s="26" t="s">
        <v>277</v>
      </c>
      <c r="C51" s="26"/>
      <c r="D51" s="20">
        <f>+D16-D18+D48</f>
        <v>93820.21</v>
      </c>
      <c r="E51" s="13"/>
      <c r="F51" s="22">
        <f>IF(D$12=0,0,D51/D$12)</f>
        <v>0</v>
      </c>
      <c r="G51" s="13"/>
      <c r="H51" s="20">
        <f>+H16-H18+H48</f>
        <v>250</v>
      </c>
      <c r="I51" s="13"/>
      <c r="J51" s="22">
        <f>IF(H$12=0,0,H51/H$12)</f>
        <v>0</v>
      </c>
      <c r="K51" s="16"/>
      <c r="L51" s="20">
        <f>+D51-H51</f>
        <v>93570.21</v>
      </c>
      <c r="M51" s="16"/>
      <c r="N51" s="22">
        <f>IF(H51=0,0,L51/H51)</f>
        <v>374.28084000000001</v>
      </c>
      <c r="O51" s="25"/>
      <c r="P51" s="20">
        <f>+P16-P18+P48</f>
        <v>111668.73</v>
      </c>
      <c r="Q51" s="13"/>
      <c r="R51" s="22">
        <f>IF(P$12=0,0,P51/P$12)</f>
        <v>0</v>
      </c>
      <c r="S51" s="13"/>
      <c r="T51" s="20">
        <f>+T16-T18+T48</f>
        <v>1000</v>
      </c>
      <c r="U51" s="13"/>
      <c r="V51" s="22">
        <f>IF(T$12=0,0,T51/T$12)</f>
        <v>0</v>
      </c>
      <c r="W51" s="16"/>
      <c r="X51" s="20">
        <f>+P51-T51</f>
        <v>110668.73</v>
      </c>
      <c r="Y51" s="16"/>
      <c r="Z51" s="22">
        <f>IF(T51=0,0,X51/T51)</f>
        <v>110.66873</v>
      </c>
    </row>
    <row r="52" spans="1:26" x14ac:dyDescent="0.3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3">
      <c r="A53" s="52"/>
      <c r="B53" s="10" t="s">
        <v>128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3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" thickBot="1" x14ac:dyDescent="0.35">
      <c r="A55" s="10"/>
      <c r="B55" s="26" t="s">
        <v>126</v>
      </c>
      <c r="C55" s="26"/>
      <c r="D55" s="31">
        <f>+D51-D53</f>
        <v>93820.21</v>
      </c>
      <c r="E55" s="13"/>
      <c r="F55" s="30">
        <f>IF(D$12=0,0,D55/D$12)</f>
        <v>0</v>
      </c>
      <c r="G55" s="13"/>
      <c r="H55" s="31">
        <f>+H51-H53</f>
        <v>250</v>
      </c>
      <c r="I55" s="13"/>
      <c r="J55" s="30">
        <f>IF(H$12=0,0,H55/H$12)</f>
        <v>0</v>
      </c>
      <c r="K55" s="16"/>
      <c r="L55" s="31">
        <f>D55-H55</f>
        <v>93570.21</v>
      </c>
      <c r="M55" s="16"/>
      <c r="N55" s="30">
        <f>IF(H55=0,0,L55/H55)</f>
        <v>374.28084000000001</v>
      </c>
      <c r="O55" s="25"/>
      <c r="P55" s="31">
        <f>+P51-P53</f>
        <v>111668.73</v>
      </c>
      <c r="Q55" s="13"/>
      <c r="R55" s="30">
        <f>IF(P$12=0,0,P55/P$12)</f>
        <v>0</v>
      </c>
      <c r="S55" s="13"/>
      <c r="T55" s="31">
        <f>+T51-T53</f>
        <v>1000</v>
      </c>
      <c r="U55" s="13"/>
      <c r="V55" s="30">
        <f>IF(T$12=0,0,T55/T$12)</f>
        <v>0</v>
      </c>
      <c r="W55" s="16"/>
      <c r="X55" s="31">
        <f>P55-T55</f>
        <v>110668.73</v>
      </c>
      <c r="Y55" s="16"/>
      <c r="Z55" s="30">
        <f>IF(T55=0,0,X55/T55)</f>
        <v>110.66873</v>
      </c>
    </row>
    <row r="56" spans="1:26" ht="15" thickTop="1" x14ac:dyDescent="0.3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3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" thickBot="1" x14ac:dyDescent="0.35">
      <c r="A58" s="10"/>
      <c r="B58" s="26" t="s">
        <v>294</v>
      </c>
      <c r="C58" s="26"/>
      <c r="D58" s="35">
        <f>SUM(D55:D57)</f>
        <v>93820.21</v>
      </c>
      <c r="E58" s="13"/>
      <c r="F58" s="34">
        <f>IF(D$12=0,0,D58/D$12)</f>
        <v>0</v>
      </c>
      <c r="G58" s="13"/>
      <c r="H58" s="35">
        <f>SUM(H55:H57)</f>
        <v>250</v>
      </c>
      <c r="I58" s="13"/>
      <c r="J58" s="34">
        <f>IF(H$12=0,0,H58/H$12)</f>
        <v>0</v>
      </c>
      <c r="K58" s="16"/>
      <c r="L58" s="35">
        <f>+D58-H58</f>
        <v>93570.21</v>
      </c>
      <c r="M58" s="16"/>
      <c r="N58" s="34">
        <f>IF(H58=0,0,L58/H58)</f>
        <v>374.28084000000001</v>
      </c>
      <c r="O58" s="25"/>
      <c r="P58" s="35">
        <f>SUM(P55:P57)</f>
        <v>111668.73</v>
      </c>
      <c r="Q58" s="13"/>
      <c r="R58" s="34">
        <f>IF(P$12=0,0,P58/P$12)</f>
        <v>0</v>
      </c>
      <c r="S58" s="13"/>
      <c r="T58" s="35">
        <f>SUM(T55:T57)</f>
        <v>1000</v>
      </c>
      <c r="U58" s="13"/>
      <c r="V58" s="34">
        <f>IF(T$12=0,0,T58/T$12)</f>
        <v>0</v>
      </c>
      <c r="W58" s="16"/>
      <c r="X58" s="35">
        <f>+P58-T58</f>
        <v>110668.73</v>
      </c>
      <c r="Y58" s="16"/>
      <c r="Z58" s="34">
        <f>IF(T58=0,0,X58/T58)</f>
        <v>110.66873</v>
      </c>
    </row>
    <row r="59" spans="1:26" ht="15" thickTop="1" x14ac:dyDescent="0.3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3">
      <c r="A60" s="9"/>
      <c r="B60" s="61">
        <v>44575.842125659721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3">
      <c r="A61" s="9"/>
      <c r="B61" s="62" t="s">
        <v>56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3">
      <c r="A62" s="9"/>
      <c r="B62" s="53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3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","424", " - ", "Blair Field")</f>
        <v>Department 424 - Blair Field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483.29</v>
      </c>
      <c r="E18" s="21"/>
      <c r="F18" s="32">
        <f t="shared" ref="F18:F24" si="0">IF(D$12=0,0,D18/D$12)</f>
        <v>0</v>
      </c>
      <c r="G18" s="21"/>
      <c r="H18" s="21">
        <f>SUM(OSRRefH22x_0)</f>
        <v>479</v>
      </c>
      <c r="I18" s="21"/>
      <c r="J18" s="32">
        <f t="shared" ref="J18:J24" si="1">IF(H$12=0,0,H18/H$12)</f>
        <v>0</v>
      </c>
      <c r="K18" s="4"/>
      <c r="L18" s="21">
        <f t="shared" ref="L18:L24" si="2">+D18-H18</f>
        <v>4.2900000000000205</v>
      </c>
      <c r="M18" s="4"/>
      <c r="N18" s="32">
        <f t="shared" ref="N18:N24" si="3">IF(H18=0,0,L18/H18)</f>
        <v>8.956158663883133E-3</v>
      </c>
      <c r="O18" s="10"/>
      <c r="P18" s="21">
        <f>SUM(OSRRefP22x_0)</f>
        <v>2879.74</v>
      </c>
      <c r="Q18" s="21"/>
      <c r="R18" s="32">
        <f t="shared" ref="R18:R24" si="4">IF(P$12=0,0,P18/P$12)</f>
        <v>0</v>
      </c>
      <c r="S18" s="21"/>
      <c r="T18" s="21">
        <f>SUM(OSRRefT22x_0)</f>
        <v>2874</v>
      </c>
      <c r="U18" s="21"/>
      <c r="V18" s="32">
        <f t="shared" ref="V18:V24" si="5">IF(T$12=0,0,T18/T$12)</f>
        <v>0</v>
      </c>
      <c r="W18" s="4"/>
      <c r="X18" s="21">
        <f t="shared" ref="X18:X24" si="6">+P18-T18</f>
        <v>5.7399999999997817</v>
      </c>
      <c r="Y18" s="4"/>
      <c r="Z18" s="32">
        <f t="shared" ref="Z18:Z24" si="7">IF(T18=0,0,X18/T18)</f>
        <v>1.9972164231036125E-3</v>
      </c>
    </row>
    <row r="19" spans="1:26" s="28" customFormat="1" outlineLevel="1" collapsed="1" x14ac:dyDescent="0.3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2875.74</v>
      </c>
      <c r="Q19" s="1"/>
      <c r="R19" s="5">
        <f t="shared" si="4"/>
        <v>0</v>
      </c>
      <c r="S19" s="1"/>
      <c r="T19" s="1">
        <f>SUM(OSRRefT22_0x_0)</f>
        <v>2874</v>
      </c>
      <c r="U19" s="1"/>
      <c r="V19" s="5">
        <f t="shared" si="5"/>
        <v>0</v>
      </c>
      <c r="W19" s="1"/>
      <c r="X19" s="1">
        <f t="shared" si="6"/>
        <v>1.7399999999997817</v>
      </c>
      <c r="Y19" s="1"/>
      <c r="Z19" s="5">
        <f t="shared" si="7"/>
        <v>6.0542797494773199E-4</v>
      </c>
    </row>
    <row r="20" spans="1:26" s="24" customFormat="1" hidden="1" outlineLevel="2" x14ac:dyDescent="0.3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</v>
      </c>
      <c r="I20" s="2"/>
      <c r="J20" s="7">
        <f t="shared" si="1"/>
        <v>0</v>
      </c>
      <c r="K20" s="2"/>
      <c r="L20" s="6">
        <f t="shared" si="2"/>
        <v>0.29000000000002046</v>
      </c>
      <c r="M20" s="2"/>
      <c r="N20" s="7">
        <f t="shared" si="3"/>
        <v>6.054279749478506E-4</v>
      </c>
      <c r="O20" s="11"/>
      <c r="P20" s="6">
        <v>2875.74</v>
      </c>
      <c r="Q20" s="2"/>
      <c r="R20" s="7">
        <f t="shared" si="4"/>
        <v>0</v>
      </c>
      <c r="S20" s="2"/>
      <c r="T20" s="6">
        <v>2874</v>
      </c>
      <c r="U20" s="2"/>
      <c r="V20" s="7">
        <f t="shared" si="5"/>
        <v>0</v>
      </c>
      <c r="W20" s="2"/>
      <c r="X20" s="6">
        <f t="shared" si="6"/>
        <v>1.7399999999997817</v>
      </c>
      <c r="Y20" s="2"/>
      <c r="Z20" s="7">
        <f t="shared" si="7"/>
        <v>6.0542797494773199E-4</v>
      </c>
    </row>
    <row r="21" spans="1:26" s="28" customFormat="1" outlineLevel="1" collapsed="1" x14ac:dyDescent="0.3">
      <c r="A21" s="27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4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4</v>
      </c>
      <c r="M21" s="1"/>
      <c r="N21" s="5">
        <f t="shared" si="3"/>
        <v>0</v>
      </c>
      <c r="O21" s="14"/>
      <c r="P21" s="1">
        <f>SUM(OSRRefP22_1x_0)</f>
        <v>4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4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"6279", " - ", "GENERAL EXPENSE")</f>
        <v xml:space="preserve">          6279 - GENERAL EXPENSE</v>
      </c>
      <c r="C22" s="11"/>
      <c r="D22" s="6">
        <v>4</v>
      </c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4</v>
      </c>
      <c r="M22" s="2"/>
      <c r="N22" s="7">
        <f t="shared" si="3"/>
        <v>0</v>
      </c>
      <c r="O22" s="11"/>
      <c r="P22" s="6">
        <v>4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4</v>
      </c>
      <c r="Y22" s="2"/>
      <c r="Z22" s="7">
        <f t="shared" si="7"/>
        <v>0</v>
      </c>
    </row>
    <row r="23" spans="1:26" s="28" customFormat="1" outlineLevel="1" collapsed="1" x14ac:dyDescent="0.3">
      <c r="A23" s="27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9"/>
      <c r="B24" s="11" t="str">
        <f>CONCATENATE("          ", "6284", " - ", "TRASH REMOVAL EXPENSE")</f>
        <v xml:space="preserve">          6284 - TRASH REMOVAL EXPENSE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55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0">
        <f>+D16-D18+D26</f>
        <v>-483.29</v>
      </c>
      <c r="E28" s="13"/>
      <c r="F28" s="22">
        <f>IF(D$12=0,0,D28/D$12)</f>
        <v>0</v>
      </c>
      <c r="G28" s="13"/>
      <c r="H28" s="20">
        <f>+H16-H18+H26</f>
        <v>-479</v>
      </c>
      <c r="I28" s="13"/>
      <c r="J28" s="22">
        <f>IF(H$12=0,0,H28/H$12)</f>
        <v>0</v>
      </c>
      <c r="K28" s="16"/>
      <c r="L28" s="20">
        <f>+D28-H28</f>
        <v>-4.2900000000000205</v>
      </c>
      <c r="M28" s="16"/>
      <c r="N28" s="22">
        <f>IF(H28=0,0,L28/H28)</f>
        <v>8.956158663883133E-3</v>
      </c>
      <c r="O28" s="25"/>
      <c r="P28" s="20">
        <f>+P16-P18+P26</f>
        <v>-2879.74</v>
      </c>
      <c r="Q28" s="13"/>
      <c r="R28" s="22">
        <f>IF(P$12=0,0,P28/P$12)</f>
        <v>0</v>
      </c>
      <c r="S28" s="13"/>
      <c r="T28" s="20">
        <f>+T16-T18+T26</f>
        <v>-2874</v>
      </c>
      <c r="U28" s="13"/>
      <c r="V28" s="22">
        <f>IF(T$12=0,0,T28/T$12)</f>
        <v>0</v>
      </c>
      <c r="W28" s="16"/>
      <c r="X28" s="20">
        <f>+P28-T28</f>
        <v>-5.7399999999997817</v>
      </c>
      <c r="Y28" s="16"/>
      <c r="Z28" s="22">
        <f>IF(T28=0,0,X28/T28)</f>
        <v>1.9972164231036125E-3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1">
        <f>+D28-D30</f>
        <v>-483.29</v>
      </c>
      <c r="E32" s="13"/>
      <c r="F32" s="30">
        <f>IF(D$12=0,0,D32/D$12)</f>
        <v>0</v>
      </c>
      <c r="G32" s="13"/>
      <c r="H32" s="31">
        <f>+H28-H30</f>
        <v>-479</v>
      </c>
      <c r="I32" s="13"/>
      <c r="J32" s="30">
        <f>IF(H$12=0,0,H32/H$12)</f>
        <v>0</v>
      </c>
      <c r="K32" s="16"/>
      <c r="L32" s="31">
        <f>D32-H32</f>
        <v>-4.2900000000000205</v>
      </c>
      <c r="M32" s="16"/>
      <c r="N32" s="30">
        <f>IF(H32=0,0,L32/H32)</f>
        <v>8.956158663883133E-3</v>
      </c>
      <c r="O32" s="25"/>
      <c r="P32" s="31">
        <f>+P28-P30</f>
        <v>-2879.74</v>
      </c>
      <c r="Q32" s="13"/>
      <c r="R32" s="30">
        <f>IF(P$12=0,0,P32/P$12)</f>
        <v>0</v>
      </c>
      <c r="S32" s="13"/>
      <c r="T32" s="31">
        <f>+T28-T30</f>
        <v>-2874</v>
      </c>
      <c r="U32" s="13"/>
      <c r="V32" s="30">
        <f>IF(T$12=0,0,T32/T$12)</f>
        <v>0</v>
      </c>
      <c r="W32" s="16"/>
      <c r="X32" s="31">
        <f>P32-T32</f>
        <v>-5.7399999999997817</v>
      </c>
      <c r="Y32" s="16"/>
      <c r="Z32" s="30">
        <f>IF(T32=0,0,X32/T32)</f>
        <v>1.9972164231036125E-3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5">
        <f>SUM(D32:D34)</f>
        <v>-483.29</v>
      </c>
      <c r="E35" s="13"/>
      <c r="F35" s="34">
        <f>IF(D$12=0,0,D35/D$12)</f>
        <v>0</v>
      </c>
      <c r="G35" s="13"/>
      <c r="H35" s="35">
        <f>SUM(H32:H34)</f>
        <v>-479</v>
      </c>
      <c r="I35" s="13"/>
      <c r="J35" s="34">
        <f>IF(H$12=0,0,H35/H$12)</f>
        <v>0</v>
      </c>
      <c r="K35" s="16"/>
      <c r="L35" s="35">
        <f>+D35-H35</f>
        <v>-4.2900000000000205</v>
      </c>
      <c r="M35" s="16"/>
      <c r="N35" s="34">
        <f>IF(H35=0,0,L35/H35)</f>
        <v>8.956158663883133E-3</v>
      </c>
      <c r="O35" s="25"/>
      <c r="P35" s="35">
        <f>SUM(P32:P34)</f>
        <v>-2879.74</v>
      </c>
      <c r="Q35" s="13"/>
      <c r="R35" s="34">
        <f>IF(P$12=0,0,P35/P$12)</f>
        <v>0</v>
      </c>
      <c r="S35" s="13"/>
      <c r="T35" s="35">
        <f>SUM(T32:T34)</f>
        <v>-2874</v>
      </c>
      <c r="U35" s="13"/>
      <c r="V35" s="34">
        <f>IF(T$12=0,0,T35/T$12)</f>
        <v>0</v>
      </c>
      <c r="W35" s="16"/>
      <c r="X35" s="35">
        <f>+P35-T35</f>
        <v>-5.7399999999997817</v>
      </c>
      <c r="Y35" s="16"/>
      <c r="Z35" s="34">
        <f>IF(T35=0,0,X35/T35)</f>
        <v>1.9972164231036125E-3</v>
      </c>
    </row>
    <row r="36" spans="1:26" ht="15" thickTop="1" x14ac:dyDescent="0.3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61">
        <v>44575.842125659721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2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3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","425", " - ", "Events Center")</f>
        <v>Department 425 - Events Center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1649.9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1649.9</v>
      </c>
      <c r="M12" s="4"/>
      <c r="N12" s="12">
        <f t="shared" ref="N12:N13" si="1">IF(H12=0,0,L12/H12)</f>
        <v>0</v>
      </c>
      <c r="O12" s="10"/>
      <c r="P12" s="4">
        <f>SUM(OSRRefP13x_0)</f>
        <v>7379.58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7379.58</v>
      </c>
      <c r="Y12" s="4"/>
      <c r="Z12" s="12">
        <f t="shared" ref="Z12:Z13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--1649.9</f>
        <v>1649.9</v>
      </c>
      <c r="E13" s="2"/>
      <c r="F13" s="19"/>
      <c r="G13" s="2"/>
      <c r="H13" s="2"/>
      <c r="I13" s="2"/>
      <c r="J13" s="19"/>
      <c r="K13" s="2"/>
      <c r="L13" s="2">
        <f t="shared" si="0"/>
        <v>1649.9</v>
      </c>
      <c r="M13" s="2"/>
      <c r="N13" s="19">
        <f t="shared" si="1"/>
        <v>0</v>
      </c>
      <c r="O13" s="11"/>
      <c r="P13" s="2">
        <f>--7379.58</f>
        <v>7379.58</v>
      </c>
      <c r="Q13" s="2"/>
      <c r="R13" s="19"/>
      <c r="S13" s="2"/>
      <c r="T13" s="2"/>
      <c r="U13" s="2"/>
      <c r="V13" s="19"/>
      <c r="W13" s="2"/>
      <c r="X13" s="2">
        <f t="shared" si="2"/>
        <v>7379.58</v>
      </c>
      <c r="Y13" s="2"/>
      <c r="Z13" s="19">
        <f t="shared" si="3"/>
        <v>0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>
        <f>SUM(OSRRefD16x_0)</f>
        <v>969</v>
      </c>
      <c r="E15" s="4"/>
      <c r="F15" s="12">
        <f t="shared" ref="F15:F16" si="4">IF(D$12=0,0,D15/D$12)</f>
        <v>0.58730832171646763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969</v>
      </c>
      <c r="M15" s="4"/>
      <c r="N15" s="12">
        <f t="shared" ref="N15:N16" si="7">IF(H15=0,0,L15/H15)</f>
        <v>0</v>
      </c>
      <c r="O15" s="10"/>
      <c r="P15" s="4">
        <f>SUM(OSRRefP16x_0)</f>
        <v>7039.77</v>
      </c>
      <c r="Q15" s="4"/>
      <c r="R15" s="12">
        <f t="shared" ref="R15:R16" si="8">IF(P$12=0,0,P15/P$12)</f>
        <v>0.95395266397274647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7039.77</v>
      </c>
      <c r="Y15" s="4"/>
      <c r="Z15" s="12">
        <f t="shared" ref="Z15:Z16" si="11">IF(T15=0,0,X15/T15)</f>
        <v>0</v>
      </c>
    </row>
    <row r="16" spans="1:26" s="24" customFormat="1" hidden="1" outlineLevel="1" x14ac:dyDescent="0.3">
      <c r="A16" s="44"/>
      <c r="B16" s="11" t="str">
        <f>CONCATENATE("          ", "5053", " - ", "PURCHASES @ COST-FOOD")</f>
        <v xml:space="preserve">          5053 - PURCHASES @ COST-FOOD</v>
      </c>
      <c r="C16" s="11"/>
      <c r="D16" s="2">
        <v>969</v>
      </c>
      <c r="E16" s="2"/>
      <c r="F16" s="19">
        <f t="shared" si="4"/>
        <v>0.58730832171646763</v>
      </c>
      <c r="G16" s="2"/>
      <c r="H16" s="2"/>
      <c r="I16" s="2"/>
      <c r="J16" s="19">
        <f t="shared" si="5"/>
        <v>0</v>
      </c>
      <c r="K16" s="2"/>
      <c r="L16" s="2">
        <f t="shared" si="6"/>
        <v>969</v>
      </c>
      <c r="M16" s="2"/>
      <c r="N16" s="19">
        <f t="shared" si="7"/>
        <v>0</v>
      </c>
      <c r="O16" s="11"/>
      <c r="P16" s="2">
        <v>7039.77</v>
      </c>
      <c r="Q16" s="2"/>
      <c r="R16" s="19">
        <f t="shared" si="8"/>
        <v>0.95395266397274647</v>
      </c>
      <c r="S16" s="2"/>
      <c r="T16" s="2"/>
      <c r="U16" s="2"/>
      <c r="V16" s="19">
        <f t="shared" si="9"/>
        <v>0</v>
      </c>
      <c r="W16" s="2"/>
      <c r="X16" s="2">
        <f t="shared" si="10"/>
        <v>7039.77</v>
      </c>
      <c r="Y16" s="2"/>
      <c r="Z16" s="19">
        <f t="shared" si="11"/>
        <v>0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>
        <f>D12-D15</f>
        <v>680.90000000000009</v>
      </c>
      <c r="E18" s="13"/>
      <c r="F18" s="22">
        <f>IF(D$12=0,0,D18/D$12)</f>
        <v>0.41269167828353237</v>
      </c>
      <c r="G18" s="13"/>
      <c r="H18" s="20">
        <f>H12-H15</f>
        <v>0</v>
      </c>
      <c r="I18" s="13"/>
      <c r="J18" s="22">
        <f>IF(H$12=0,0,H18/H$12)</f>
        <v>0</v>
      </c>
      <c r="K18" s="16"/>
      <c r="L18" s="20">
        <f>+D18-H18</f>
        <v>680.90000000000009</v>
      </c>
      <c r="M18" s="16"/>
      <c r="N18" s="22">
        <f>IF(H18=0,0,L18/H18)</f>
        <v>0</v>
      </c>
      <c r="O18" s="25"/>
      <c r="P18" s="20">
        <f>P12-P15</f>
        <v>339.80999999999949</v>
      </c>
      <c r="Q18" s="13"/>
      <c r="R18" s="22">
        <f>IF(P$12=0,0,P18/P$12)</f>
        <v>4.6047336027253513E-2</v>
      </c>
      <c r="S18" s="13"/>
      <c r="T18" s="20">
        <f>T12-T15</f>
        <v>0</v>
      </c>
      <c r="U18" s="13"/>
      <c r="V18" s="22">
        <f>IF(T$12=0,0,T18/T$12)</f>
        <v>0</v>
      </c>
      <c r="W18" s="16"/>
      <c r="X18" s="20">
        <f>+P18-T18</f>
        <v>339.80999999999949</v>
      </c>
      <c r="Y18" s="16"/>
      <c r="Z18" s="22">
        <f>IF(T18=0,0,X18/T18)</f>
        <v>0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>
        <f>SUM(OSRRefD22x_0)</f>
        <v>2147.25</v>
      </c>
      <c r="E20" s="21"/>
      <c r="F20" s="32">
        <f t="shared" ref="F20:F32" si="12">IF(D$12=0,0,D20/D$12)</f>
        <v>1.3014425116673738</v>
      </c>
      <c r="G20" s="21"/>
      <c r="H20" s="21">
        <f>SUM(OSRRefH22x_0)</f>
        <v>1001</v>
      </c>
      <c r="I20" s="21"/>
      <c r="J20" s="32">
        <f t="shared" ref="J20:J32" si="13">IF(H$12=0,0,H20/H$12)</f>
        <v>0</v>
      </c>
      <c r="K20" s="4"/>
      <c r="L20" s="21">
        <f t="shared" ref="L20:L32" si="14">+D20-H20</f>
        <v>1146.25</v>
      </c>
      <c r="M20" s="4"/>
      <c r="N20" s="32">
        <f t="shared" ref="N20:N32" si="15">IF(H20=0,0,L20/H20)</f>
        <v>1.1451048951048952</v>
      </c>
      <c r="O20" s="10"/>
      <c r="P20" s="21">
        <f>SUM(OSRRefP22x_0)</f>
        <v>10555.039999999999</v>
      </c>
      <c r="Q20" s="21"/>
      <c r="R20" s="32">
        <f t="shared" ref="R20:R32" si="16">IF(P$12=0,0,P20/P$12)</f>
        <v>1.4303036216153222</v>
      </c>
      <c r="S20" s="21"/>
      <c r="T20" s="21">
        <f>SUM(OSRRefT22x_0)</f>
        <v>6006</v>
      </c>
      <c r="U20" s="21"/>
      <c r="V20" s="32">
        <f t="shared" ref="V20:V32" si="17">IF(T$12=0,0,T20/T$12)</f>
        <v>0</v>
      </c>
      <c r="W20" s="4"/>
      <c r="X20" s="21">
        <f t="shared" ref="X20:X32" si="18">+P20-T20</f>
        <v>4549.0399999999991</v>
      </c>
      <c r="Y20" s="4"/>
      <c r="Z20" s="32">
        <f t="shared" ref="Z20:Z32" si="19">IF(T20=0,0,X20/T20)</f>
        <v>0.75741591741591729</v>
      </c>
    </row>
    <row r="21" spans="1:26" s="28" customFormat="1" outlineLevel="1" collapsed="1" x14ac:dyDescent="0.3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33.869999999999997</v>
      </c>
      <c r="E21" s="1"/>
      <c r="F21" s="5">
        <f t="shared" si="12"/>
        <v>2.0528516879810894E-2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33.869999999999997</v>
      </c>
      <c r="M21" s="1"/>
      <c r="N21" s="5">
        <f t="shared" si="15"/>
        <v>0</v>
      </c>
      <c r="O21" s="14"/>
      <c r="P21" s="1">
        <f>SUM(OSRRefP22_0x_0)</f>
        <v>133.41</v>
      </c>
      <c r="Q21" s="1"/>
      <c r="R21" s="5">
        <f t="shared" si="16"/>
        <v>1.8078264616685501E-2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133.41</v>
      </c>
      <c r="Y21" s="1"/>
      <c r="Z21" s="5">
        <f t="shared" si="19"/>
        <v>0</v>
      </c>
    </row>
    <row r="22" spans="1:26" s="24" customFormat="1" hidden="1" outlineLevel="2" x14ac:dyDescent="0.3">
      <c r="A22" s="29"/>
      <c r="B22" s="11" t="str">
        <f>CONCATENATE("          ", "6381", " - ", "BANK/CREDIT CARD FEES")</f>
        <v xml:space="preserve">          6381 - BANK/CREDIT CARD FEES</v>
      </c>
      <c r="C22" s="11"/>
      <c r="D22" s="6">
        <v>33.869999999999997</v>
      </c>
      <c r="E22" s="2"/>
      <c r="F22" s="7">
        <f t="shared" si="12"/>
        <v>2.0528516879810894E-2</v>
      </c>
      <c r="G22" s="2"/>
      <c r="H22" s="6"/>
      <c r="I22" s="2"/>
      <c r="J22" s="7">
        <f t="shared" si="13"/>
        <v>0</v>
      </c>
      <c r="K22" s="2"/>
      <c r="L22" s="6">
        <f t="shared" si="14"/>
        <v>33.869999999999997</v>
      </c>
      <c r="M22" s="2"/>
      <c r="N22" s="7">
        <f t="shared" si="15"/>
        <v>0</v>
      </c>
      <c r="O22" s="11"/>
      <c r="P22" s="6">
        <v>133.41</v>
      </c>
      <c r="Q22" s="2"/>
      <c r="R22" s="7">
        <f t="shared" si="16"/>
        <v>1.8078264616685501E-2</v>
      </c>
      <c r="S22" s="2"/>
      <c r="T22" s="6"/>
      <c r="U22" s="2"/>
      <c r="V22" s="7">
        <f t="shared" si="17"/>
        <v>0</v>
      </c>
      <c r="W22" s="2"/>
      <c r="X22" s="6">
        <f t="shared" si="18"/>
        <v>133.41</v>
      </c>
      <c r="Y22" s="2"/>
      <c r="Z22" s="7">
        <f t="shared" si="19"/>
        <v>0</v>
      </c>
    </row>
    <row r="23" spans="1:26" s="28" customFormat="1" outlineLevel="1" collapsed="1" x14ac:dyDescent="0.3">
      <c r="A23" s="27"/>
      <c r="B23" s="14" t="str">
        <f>CONCATENATE("     ","Depreciation                                      ")</f>
        <v xml:space="preserve">     Depreciation                                      </v>
      </c>
      <c r="C23" s="14"/>
      <c r="D23" s="1">
        <f>SUM(OSRRefD22_1x_0)</f>
        <v>1000.91</v>
      </c>
      <c r="E23" s="1"/>
      <c r="F23" s="5">
        <f t="shared" si="12"/>
        <v>0.60664888781138249</v>
      </c>
      <c r="G23" s="1"/>
      <c r="H23" s="1">
        <f>SUM(OSRRefH22_1x_0)</f>
        <v>1001</v>
      </c>
      <c r="I23" s="1"/>
      <c r="J23" s="5">
        <f t="shared" si="13"/>
        <v>0</v>
      </c>
      <c r="K23" s="1"/>
      <c r="L23" s="1">
        <f t="shared" si="14"/>
        <v>-9.0000000000031832E-2</v>
      </c>
      <c r="M23" s="1"/>
      <c r="N23" s="5">
        <f t="shared" si="15"/>
        <v>-8.9910089910121704E-5</v>
      </c>
      <c r="O23" s="14"/>
      <c r="P23" s="1">
        <f>SUM(OSRRefP22_1x_0)</f>
        <v>6005.46</v>
      </c>
      <c r="Q23" s="1"/>
      <c r="R23" s="5">
        <f t="shared" si="16"/>
        <v>0.81379428097534012</v>
      </c>
      <c r="S23" s="1"/>
      <c r="T23" s="1">
        <f>SUM(OSRRefT22_1x_0)</f>
        <v>6006</v>
      </c>
      <c r="U23" s="1"/>
      <c r="V23" s="5">
        <f t="shared" si="17"/>
        <v>0</v>
      </c>
      <c r="W23" s="1"/>
      <c r="X23" s="1">
        <f t="shared" si="18"/>
        <v>-0.53999999999996362</v>
      </c>
      <c r="Y23" s="1"/>
      <c r="Z23" s="5">
        <f t="shared" si="19"/>
        <v>-8.9910089910083852E-5</v>
      </c>
    </row>
    <row r="24" spans="1:26" s="24" customFormat="1" hidden="1" outlineLevel="2" x14ac:dyDescent="0.3">
      <c r="A24" s="29"/>
      <c r="B24" s="11" t="str">
        <f>CONCATENATE("          ", "6322", " - ", "EQUIPMENT DEPRECIATION EXPENSE")</f>
        <v xml:space="preserve">          6322 - EQUIPMENT DEPRECIATION EXPENSE</v>
      </c>
      <c r="C24" s="11"/>
      <c r="D24" s="6">
        <v>1000.91</v>
      </c>
      <c r="E24" s="2"/>
      <c r="F24" s="7">
        <f t="shared" si="12"/>
        <v>0.60664888781138249</v>
      </c>
      <c r="G24" s="2"/>
      <c r="H24" s="6">
        <v>1001</v>
      </c>
      <c r="I24" s="2"/>
      <c r="J24" s="7">
        <f t="shared" si="13"/>
        <v>0</v>
      </c>
      <c r="K24" s="2"/>
      <c r="L24" s="6">
        <f t="shared" si="14"/>
        <v>-9.0000000000031832E-2</v>
      </c>
      <c r="M24" s="2"/>
      <c r="N24" s="7">
        <f t="shared" si="15"/>
        <v>-8.9910089910121704E-5</v>
      </c>
      <c r="O24" s="11"/>
      <c r="P24" s="6">
        <v>6005.46</v>
      </c>
      <c r="Q24" s="2"/>
      <c r="R24" s="7">
        <f t="shared" si="16"/>
        <v>0.81379428097534012</v>
      </c>
      <c r="S24" s="2"/>
      <c r="T24" s="6">
        <v>6006</v>
      </c>
      <c r="U24" s="2"/>
      <c r="V24" s="7">
        <f t="shared" si="17"/>
        <v>0</v>
      </c>
      <c r="W24" s="2"/>
      <c r="X24" s="6">
        <f t="shared" si="18"/>
        <v>-0.53999999999996362</v>
      </c>
      <c r="Y24" s="2"/>
      <c r="Z24" s="7">
        <f t="shared" si="19"/>
        <v>-8.9910089910083852E-5</v>
      </c>
    </row>
    <row r="25" spans="1:26" s="28" customFormat="1" outlineLevel="1" collapsed="1" x14ac:dyDescent="0.3">
      <c r="A25" s="27"/>
      <c r="B25" s="14" t="str">
        <f>CONCATENATE("     ","General                                           ")</f>
        <v xml:space="preserve">     General                                           </v>
      </c>
      <c r="C25" s="14"/>
      <c r="D25" s="1">
        <f>SUM(OSRRefD22_2x_0)</f>
        <v>700</v>
      </c>
      <c r="E25" s="1"/>
      <c r="F25" s="5">
        <f t="shared" si="12"/>
        <v>0.4242681374628765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700</v>
      </c>
      <c r="M25" s="1"/>
      <c r="N25" s="5">
        <f t="shared" si="15"/>
        <v>0</v>
      </c>
      <c r="O25" s="14"/>
      <c r="P25" s="1">
        <f>SUM(OSRRefP22_2x_0)</f>
        <v>2455</v>
      </c>
      <c r="Q25" s="1"/>
      <c r="R25" s="5">
        <f t="shared" si="16"/>
        <v>0.33267475926814266</v>
      </c>
      <c r="S25" s="1"/>
      <c r="T25" s="1">
        <f>SUM(OSRRefT22_2x_0)</f>
        <v>0</v>
      </c>
      <c r="U25" s="1"/>
      <c r="V25" s="5">
        <f t="shared" si="17"/>
        <v>0</v>
      </c>
      <c r="W25" s="1"/>
      <c r="X25" s="1">
        <f t="shared" si="18"/>
        <v>2455</v>
      </c>
      <c r="Y25" s="1"/>
      <c r="Z25" s="5">
        <f t="shared" si="19"/>
        <v>0</v>
      </c>
    </row>
    <row r="26" spans="1:26" s="24" customFormat="1" hidden="1" outlineLevel="2" x14ac:dyDescent="0.3">
      <c r="A26" s="29"/>
      <c r="B26" s="11" t="str">
        <f>CONCATENATE("          ", "6279", " - ", "GENERAL EXPENSE")</f>
        <v xml:space="preserve">          6279 - GENERAL EXPENSE</v>
      </c>
      <c r="C26" s="11"/>
      <c r="D26" s="6">
        <v>700</v>
      </c>
      <c r="E26" s="2"/>
      <c r="F26" s="7">
        <f t="shared" si="12"/>
        <v>0.4242681374628765</v>
      </c>
      <c r="G26" s="2"/>
      <c r="H26" s="6"/>
      <c r="I26" s="2"/>
      <c r="J26" s="7">
        <f t="shared" si="13"/>
        <v>0</v>
      </c>
      <c r="K26" s="2"/>
      <c r="L26" s="6">
        <f t="shared" si="14"/>
        <v>700</v>
      </c>
      <c r="M26" s="2"/>
      <c r="N26" s="7">
        <f t="shared" si="15"/>
        <v>0</v>
      </c>
      <c r="O26" s="11"/>
      <c r="P26" s="6">
        <v>2455</v>
      </c>
      <c r="Q26" s="2"/>
      <c r="R26" s="7">
        <f t="shared" si="16"/>
        <v>0.33267475926814266</v>
      </c>
      <c r="S26" s="2"/>
      <c r="T26" s="6"/>
      <c r="U26" s="2"/>
      <c r="V26" s="7">
        <f t="shared" si="17"/>
        <v>0</v>
      </c>
      <c r="W26" s="2"/>
      <c r="X26" s="6">
        <f t="shared" si="18"/>
        <v>2455</v>
      </c>
      <c r="Y26" s="2"/>
      <c r="Z26" s="7">
        <f t="shared" si="19"/>
        <v>0</v>
      </c>
    </row>
    <row r="27" spans="1:26" s="28" customFormat="1" outlineLevel="1" collapsed="1" x14ac:dyDescent="0.3">
      <c r="A27" s="27"/>
      <c r="B27" s="14" t="str">
        <f>CONCATENATE("     ","Royalty &amp; Commissions                             ")</f>
        <v xml:space="preserve">     Royalty &amp; Commissions                             </v>
      </c>
      <c r="C27" s="14"/>
      <c r="D27" s="1">
        <f>SUM(OSRRefD22_3x_0)</f>
        <v>412.47</v>
      </c>
      <c r="E27" s="1"/>
      <c r="F27" s="5">
        <f t="shared" si="12"/>
        <v>0.24999696951330383</v>
      </c>
      <c r="G27" s="1"/>
      <c r="H27" s="1">
        <f>SUM(OSRRefH22_3x_0)</f>
        <v>0</v>
      </c>
      <c r="I27" s="1"/>
      <c r="J27" s="5">
        <f t="shared" si="13"/>
        <v>0</v>
      </c>
      <c r="K27" s="1"/>
      <c r="L27" s="1">
        <f t="shared" si="14"/>
        <v>412.47</v>
      </c>
      <c r="M27" s="1"/>
      <c r="N27" s="5">
        <f t="shared" si="15"/>
        <v>0</v>
      </c>
      <c r="O27" s="14"/>
      <c r="P27" s="1">
        <f>SUM(OSRRefP22_3x_0)</f>
        <v>1844.91</v>
      </c>
      <c r="Q27" s="1"/>
      <c r="R27" s="5">
        <f t="shared" si="16"/>
        <v>0.25000203263600368</v>
      </c>
      <c r="S27" s="1"/>
      <c r="T27" s="1">
        <f>SUM(OSRRefT22_3x_0)</f>
        <v>0</v>
      </c>
      <c r="U27" s="1"/>
      <c r="V27" s="5">
        <f t="shared" si="17"/>
        <v>0</v>
      </c>
      <c r="W27" s="1"/>
      <c r="X27" s="1">
        <f t="shared" si="18"/>
        <v>1844.91</v>
      </c>
      <c r="Y27" s="1"/>
      <c r="Z27" s="5">
        <f t="shared" si="19"/>
        <v>0</v>
      </c>
    </row>
    <row r="28" spans="1:26" s="24" customFormat="1" hidden="1" outlineLevel="2" x14ac:dyDescent="0.3">
      <c r="A28" s="29"/>
      <c r="B28" s="11" t="str">
        <f>CONCATENATE("          ", "6254", " - ", "ROYALTY &amp; COMMISSIONS")</f>
        <v xml:space="preserve">          6254 - ROYALTY &amp; COMMISSIONS</v>
      </c>
      <c r="C28" s="11"/>
      <c r="D28" s="6">
        <v>412.47</v>
      </c>
      <c r="E28" s="2"/>
      <c r="F28" s="7">
        <f t="shared" si="12"/>
        <v>0.24999696951330383</v>
      </c>
      <c r="G28" s="2"/>
      <c r="H28" s="6"/>
      <c r="I28" s="2"/>
      <c r="J28" s="7">
        <f t="shared" si="13"/>
        <v>0</v>
      </c>
      <c r="K28" s="2"/>
      <c r="L28" s="6">
        <f t="shared" si="14"/>
        <v>412.47</v>
      </c>
      <c r="M28" s="2"/>
      <c r="N28" s="7">
        <f t="shared" si="15"/>
        <v>0</v>
      </c>
      <c r="O28" s="11"/>
      <c r="P28" s="6">
        <v>1844.91</v>
      </c>
      <c r="Q28" s="2"/>
      <c r="R28" s="7">
        <f t="shared" si="16"/>
        <v>0.25000203263600368</v>
      </c>
      <c r="S28" s="2"/>
      <c r="T28" s="6"/>
      <c r="U28" s="2"/>
      <c r="V28" s="7">
        <f t="shared" si="17"/>
        <v>0</v>
      </c>
      <c r="W28" s="2"/>
      <c r="X28" s="6">
        <f t="shared" si="18"/>
        <v>1844.91</v>
      </c>
      <c r="Y28" s="2"/>
      <c r="Z28" s="7">
        <f t="shared" si="19"/>
        <v>0</v>
      </c>
    </row>
    <row r="29" spans="1:26" s="28" customFormat="1" outlineLevel="1" collapsed="1" x14ac:dyDescent="0.3">
      <c r="A29" s="27"/>
      <c r="B29" s="14" t="str">
        <f>CONCATENATE("     ","Services                                          ")</f>
        <v xml:space="preserve">     Services                                          </v>
      </c>
      <c r="C29" s="14"/>
      <c r="D29" s="1">
        <f>SUM(OSRRefD22_4x_0)</f>
        <v>0</v>
      </c>
      <c r="E29" s="1"/>
      <c r="F29" s="5">
        <f t="shared" si="12"/>
        <v>0</v>
      </c>
      <c r="G29" s="1"/>
      <c r="H29" s="1">
        <f>SUM(OSRRefH22_4x_0)</f>
        <v>0</v>
      </c>
      <c r="I29" s="1"/>
      <c r="J29" s="5">
        <f t="shared" si="13"/>
        <v>0</v>
      </c>
      <c r="K29" s="1"/>
      <c r="L29" s="1">
        <f t="shared" si="14"/>
        <v>0</v>
      </c>
      <c r="M29" s="1"/>
      <c r="N29" s="5">
        <f t="shared" si="15"/>
        <v>0</v>
      </c>
      <c r="O29" s="14"/>
      <c r="P29" s="1">
        <f>SUM(OSRRefP22_4x_0)</f>
        <v>0</v>
      </c>
      <c r="Q29" s="1"/>
      <c r="R29" s="5">
        <f t="shared" si="16"/>
        <v>0</v>
      </c>
      <c r="S29" s="1"/>
      <c r="T29" s="1">
        <f>SUM(OSRRefT22_4x_0)</f>
        <v>0</v>
      </c>
      <c r="U29" s="1"/>
      <c r="V29" s="5">
        <f t="shared" si="17"/>
        <v>0</v>
      </c>
      <c r="W29" s="1"/>
      <c r="X29" s="1">
        <f t="shared" si="18"/>
        <v>0</v>
      </c>
      <c r="Y29" s="1"/>
      <c r="Z29" s="5">
        <f t="shared" si="19"/>
        <v>0</v>
      </c>
    </row>
    <row r="30" spans="1:26" s="24" customFormat="1" hidden="1" outlineLevel="2" x14ac:dyDescent="0.3">
      <c r="A30" s="29"/>
      <c r="B30" s="11" t="str">
        <f>CONCATENATE("          ", "6284", " - ", "TRASH REMOVAL EXPENSE")</f>
        <v xml:space="preserve">          6284 - TRASH REMOVAL EXPENSE</v>
      </c>
      <c r="C30" s="11"/>
      <c r="D30" s="6"/>
      <c r="E30" s="2"/>
      <c r="F30" s="7">
        <f t="shared" si="12"/>
        <v>0</v>
      </c>
      <c r="G30" s="2"/>
      <c r="H30" s="6"/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8" customFormat="1" outlineLevel="1" collapsed="1" x14ac:dyDescent="0.3">
      <c r="A31" s="27"/>
      <c r="B31" s="14" t="str">
        <f>CONCATENATE("     ","Supplies                                          ")</f>
        <v xml:space="preserve">     Supplies                                          </v>
      </c>
      <c r="C31" s="14"/>
      <c r="D31" s="1">
        <f>SUM(OSRRefD22_5x_0)</f>
        <v>0</v>
      </c>
      <c r="E31" s="1"/>
      <c r="F31" s="5">
        <f t="shared" si="12"/>
        <v>0</v>
      </c>
      <c r="G31" s="1"/>
      <c r="H31" s="1">
        <f>SUM(OSRRefH22_5x_0)</f>
        <v>0</v>
      </c>
      <c r="I31" s="1"/>
      <c r="J31" s="5">
        <f t="shared" si="13"/>
        <v>0</v>
      </c>
      <c r="K31" s="1"/>
      <c r="L31" s="1">
        <f t="shared" si="14"/>
        <v>0</v>
      </c>
      <c r="M31" s="1"/>
      <c r="N31" s="5">
        <f t="shared" si="15"/>
        <v>0</v>
      </c>
      <c r="O31" s="14"/>
      <c r="P31" s="1">
        <f>SUM(OSRRefP22_5x_0)</f>
        <v>116.26</v>
      </c>
      <c r="Q31" s="1"/>
      <c r="R31" s="5">
        <f t="shared" si="16"/>
        <v>1.5754284119150412E-2</v>
      </c>
      <c r="S31" s="1"/>
      <c r="T31" s="1">
        <f>SUM(OSRRefT22_5x_0)</f>
        <v>0</v>
      </c>
      <c r="U31" s="1"/>
      <c r="V31" s="5">
        <f t="shared" si="17"/>
        <v>0</v>
      </c>
      <c r="W31" s="1"/>
      <c r="X31" s="1">
        <f t="shared" si="18"/>
        <v>116.26</v>
      </c>
      <c r="Y31" s="1"/>
      <c r="Z31" s="5">
        <f t="shared" si="19"/>
        <v>0</v>
      </c>
    </row>
    <row r="32" spans="1:26" s="24" customFormat="1" hidden="1" outlineLevel="2" x14ac:dyDescent="0.3">
      <c r="A32" s="29"/>
      <c r="B32" s="11" t="str">
        <f>CONCATENATE("          ", "6243", " - ", "PAPER SUPPLIES")</f>
        <v xml:space="preserve">          6243 - PAPER SUPPLIES</v>
      </c>
      <c r="C32" s="11"/>
      <c r="D32" s="6"/>
      <c r="E32" s="2"/>
      <c r="F32" s="7">
        <f t="shared" si="12"/>
        <v>0</v>
      </c>
      <c r="G32" s="2"/>
      <c r="H32" s="6"/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>
        <v>116.26</v>
      </c>
      <c r="Q32" s="2"/>
      <c r="R32" s="7">
        <f t="shared" si="16"/>
        <v>1.5754284119150412E-2</v>
      </c>
      <c r="S32" s="2"/>
      <c r="T32" s="6"/>
      <c r="U32" s="2"/>
      <c r="V32" s="7">
        <f t="shared" si="17"/>
        <v>0</v>
      </c>
      <c r="W32" s="2"/>
      <c r="X32" s="6">
        <f t="shared" si="18"/>
        <v>116.26</v>
      </c>
      <c r="Y32" s="2"/>
      <c r="Z32" s="7">
        <f t="shared" si="19"/>
        <v>0</v>
      </c>
    </row>
    <row r="33" spans="1:26" s="55" customFormat="1" x14ac:dyDescent="0.3">
      <c r="A33" s="36"/>
      <c r="B33" s="36"/>
      <c r="C33" s="36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3">
      <c r="A34" s="10"/>
      <c r="B34" s="25" t="s">
        <v>293</v>
      </c>
      <c r="C34" s="10"/>
      <c r="D34" s="4">
        <f>SUM(0)</f>
        <v>0</v>
      </c>
      <c r="E34" s="4"/>
      <c r="F34" s="12">
        <f>IF(D$12=0,0,D34/D$12)</f>
        <v>0</v>
      </c>
      <c r="G34" s="4"/>
      <c r="H34" s="4">
        <f>SUM(0)</f>
        <v>0</v>
      </c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>
        <f>SUM(0)</f>
        <v>0</v>
      </c>
      <c r="Q34" s="4"/>
      <c r="R34" s="12">
        <f>IF(P$12=0,0,P34/P$12)</f>
        <v>0</v>
      </c>
      <c r="S34" s="4"/>
      <c r="T34" s="4">
        <f>SUM(0)</f>
        <v>0</v>
      </c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3">
      <c r="A36" s="10"/>
      <c r="B36" s="26" t="s">
        <v>277</v>
      </c>
      <c r="C36" s="26"/>
      <c r="D36" s="20">
        <f>+D18-D20+D34</f>
        <v>-1466.35</v>
      </c>
      <c r="E36" s="13"/>
      <c r="F36" s="22">
        <f>IF(D$12=0,0,D36/D$12)</f>
        <v>-0.88875083338384131</v>
      </c>
      <c r="G36" s="13"/>
      <c r="H36" s="20">
        <f>+H18-H20+H34</f>
        <v>-1001</v>
      </c>
      <c r="I36" s="13"/>
      <c r="J36" s="22">
        <f>IF(H$12=0,0,H36/H$12)</f>
        <v>0</v>
      </c>
      <c r="K36" s="16"/>
      <c r="L36" s="20">
        <f>+D36-H36</f>
        <v>-465.34999999999991</v>
      </c>
      <c r="M36" s="16"/>
      <c r="N36" s="22">
        <f>IF(H36=0,0,L36/H36)</f>
        <v>0.4648851148851148</v>
      </c>
      <c r="O36" s="25"/>
      <c r="P36" s="20">
        <f>+P18-P20+P34</f>
        <v>-10215.23</v>
      </c>
      <c r="Q36" s="13"/>
      <c r="R36" s="22">
        <f>IF(P$12=0,0,P36/P$12)</f>
        <v>-1.3842562855880687</v>
      </c>
      <c r="S36" s="13"/>
      <c r="T36" s="20">
        <f>+T18-T20+T34</f>
        <v>-6006</v>
      </c>
      <c r="U36" s="13"/>
      <c r="V36" s="22">
        <f>IF(T$12=0,0,T36/T$12)</f>
        <v>0</v>
      </c>
      <c r="W36" s="16"/>
      <c r="X36" s="20">
        <f>+P36-T36</f>
        <v>-4209.2299999999996</v>
      </c>
      <c r="Y36" s="16"/>
      <c r="Z36" s="22">
        <f>IF(T36=0,0,X36/T36)</f>
        <v>0.70083749583749577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3">
      <c r="A38" s="52"/>
      <c r="B38" s="10" t="s">
        <v>128</v>
      </c>
      <c r="C38" s="10"/>
      <c r="D38" s="4">
        <v>205.82</v>
      </c>
      <c r="E38" s="4"/>
      <c r="F38" s="12">
        <f>IF(D$12=0,0,D38/D$12)</f>
        <v>0.12474695436087034</v>
      </c>
      <c r="G38" s="4"/>
      <c r="H38" s="4"/>
      <c r="I38" s="4"/>
      <c r="J38" s="12">
        <f>IF(H$12=0,0,H38/H$12)</f>
        <v>0</v>
      </c>
      <c r="K38" s="4"/>
      <c r="L38" s="4">
        <f>+D38-H38</f>
        <v>205.82</v>
      </c>
      <c r="M38" s="4"/>
      <c r="N38" s="12">
        <f>IF(H38=0,0,L38/H38)</f>
        <v>0</v>
      </c>
      <c r="O38" s="10"/>
      <c r="P38" s="4">
        <v>888.29</v>
      </c>
      <c r="Q38" s="4"/>
      <c r="R38" s="12">
        <f>IF(P$12=0,0,P38/P$12)</f>
        <v>0.12037134904696473</v>
      </c>
      <c r="S38" s="4"/>
      <c r="T38" s="4"/>
      <c r="U38" s="4"/>
      <c r="V38" s="12">
        <f>IF(T$12=0,0,T38/T$12)</f>
        <v>0</v>
      </c>
      <c r="W38" s="4"/>
      <c r="X38" s="4">
        <f>+P38-T38</f>
        <v>888.29</v>
      </c>
      <c r="Y38" s="4"/>
      <c r="Z38" s="12">
        <f>IF(T38=0,0,X38/T38)</f>
        <v>0</v>
      </c>
    </row>
    <row r="39" spans="1:26" x14ac:dyDescent="0.3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" thickBot="1" x14ac:dyDescent="0.35">
      <c r="A40" s="10"/>
      <c r="B40" s="26" t="s">
        <v>126</v>
      </c>
      <c r="C40" s="26"/>
      <c r="D40" s="31">
        <f>+D36-D38</f>
        <v>-1672.1699999999998</v>
      </c>
      <c r="E40" s="13"/>
      <c r="F40" s="30">
        <f>IF(D$12=0,0,D40/D$12)</f>
        <v>-1.0134977877447116</v>
      </c>
      <c r="G40" s="13"/>
      <c r="H40" s="31">
        <f>+H36-H38</f>
        <v>-1001</v>
      </c>
      <c r="I40" s="13"/>
      <c r="J40" s="30">
        <f>IF(H$12=0,0,H40/H$12)</f>
        <v>0</v>
      </c>
      <c r="K40" s="16"/>
      <c r="L40" s="31">
        <f>D40-H40</f>
        <v>-671.16999999999985</v>
      </c>
      <c r="M40" s="16"/>
      <c r="N40" s="30">
        <f>IF(H40=0,0,L40/H40)</f>
        <v>0.67049950049950036</v>
      </c>
      <c r="O40" s="25"/>
      <c r="P40" s="31">
        <f>+P36-P38</f>
        <v>-11103.52</v>
      </c>
      <c r="Q40" s="13"/>
      <c r="R40" s="30">
        <f>IF(P$12=0,0,P40/P$12)</f>
        <v>-1.5046276346350336</v>
      </c>
      <c r="S40" s="13"/>
      <c r="T40" s="31">
        <f>+T36-T38</f>
        <v>-6006</v>
      </c>
      <c r="U40" s="13"/>
      <c r="V40" s="30">
        <f>IF(T$12=0,0,T40/T$12)</f>
        <v>0</v>
      </c>
      <c r="W40" s="16"/>
      <c r="X40" s="31">
        <f>P40-T40</f>
        <v>-5097.5200000000004</v>
      </c>
      <c r="Y40" s="16"/>
      <c r="Z40" s="30">
        <f>IF(T40=0,0,X40/T40)</f>
        <v>0.84873792873792886</v>
      </c>
    </row>
    <row r="41" spans="1:26" ht="15" thickTop="1" x14ac:dyDescent="0.3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3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" thickBot="1" x14ac:dyDescent="0.35">
      <c r="A43" s="10"/>
      <c r="B43" s="26" t="s">
        <v>294</v>
      </c>
      <c r="C43" s="26"/>
      <c r="D43" s="35">
        <f>SUM(D40:D42)</f>
        <v>-1672.1699999999998</v>
      </c>
      <c r="E43" s="13"/>
      <c r="F43" s="34">
        <f>IF(D$12=0,0,D43/D$12)</f>
        <v>-1.0134977877447116</v>
      </c>
      <c r="G43" s="13"/>
      <c r="H43" s="35">
        <f>SUM(H40:H42)</f>
        <v>-1001</v>
      </c>
      <c r="I43" s="13"/>
      <c r="J43" s="34">
        <f>IF(H$12=0,0,H43/H$12)</f>
        <v>0</v>
      </c>
      <c r="K43" s="16"/>
      <c r="L43" s="35">
        <f>+D43-H43</f>
        <v>-671.16999999999985</v>
      </c>
      <c r="M43" s="16"/>
      <c r="N43" s="34">
        <f>IF(H43=0,0,L43/H43)</f>
        <v>0.67049950049950036</v>
      </c>
      <c r="O43" s="25"/>
      <c r="P43" s="35">
        <f>SUM(P40:P42)</f>
        <v>-11103.52</v>
      </c>
      <c r="Q43" s="13"/>
      <c r="R43" s="34">
        <f>IF(P$12=0,0,P43/P$12)</f>
        <v>-1.5046276346350336</v>
      </c>
      <c r="S43" s="13"/>
      <c r="T43" s="35">
        <f>SUM(T40:T42)</f>
        <v>-6006</v>
      </c>
      <c r="U43" s="13"/>
      <c r="V43" s="34">
        <f>IF(T$12=0,0,T43/T$12)</f>
        <v>0</v>
      </c>
      <c r="W43" s="16"/>
      <c r="X43" s="35">
        <f>+P43-T43</f>
        <v>-5097.5200000000004</v>
      </c>
      <c r="Y43" s="16"/>
      <c r="Z43" s="34">
        <f>IF(T43=0,0,X43/T43)</f>
        <v>0.84873792873792886</v>
      </c>
    </row>
    <row r="44" spans="1:26" ht="15" thickTop="1" x14ac:dyDescent="0.3">
      <c r="A44" s="9"/>
      <c r="C44" s="9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3">
      <c r="A45" s="9"/>
      <c r="B45" s="61">
        <v>44575.842125659721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3">
      <c r="A46" s="9"/>
      <c r="B46" s="62" t="s">
        <v>56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3">
      <c r="A47" s="9"/>
      <c r="B47" s="53"/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3"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183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964831.3600000001</v>
      </c>
      <c r="E12" s="4"/>
      <c r="F12" s="12"/>
      <c r="G12" s="4"/>
      <c r="H12" s="4">
        <f>SUM(OSRRefH13x_0)</f>
        <v>887040</v>
      </c>
      <c r="I12" s="4"/>
      <c r="J12" s="12"/>
      <c r="K12" s="4"/>
      <c r="L12" s="4">
        <f t="shared" ref="L12:L16" si="0">+D12-H12</f>
        <v>77791.360000000102</v>
      </c>
      <c r="M12" s="4"/>
      <c r="N12" s="12">
        <f t="shared" ref="N12:N16" si="1">IF(H12=0,0,L12/H12)</f>
        <v>8.7697691197691316E-2</v>
      </c>
      <c r="O12" s="10"/>
      <c r="P12" s="4">
        <f>SUM(OSRRefP13x_0)</f>
        <v>5792949.6299999999</v>
      </c>
      <c r="Q12" s="4"/>
      <c r="R12" s="12"/>
      <c r="S12" s="4"/>
      <c r="T12" s="4">
        <f>SUM(OSRRefT13x_0)</f>
        <v>4515840</v>
      </c>
      <c r="U12" s="4"/>
      <c r="V12" s="12"/>
      <c r="W12" s="4"/>
      <c r="X12" s="4">
        <f t="shared" ref="X12:X16" si="2">+P12-T12</f>
        <v>1277109.6299999999</v>
      </c>
      <c r="Y12" s="4"/>
      <c r="Z12" s="12">
        <f t="shared" ref="Z12:Z16" si="3">IF(T12=0,0,X12/T12)</f>
        <v>0.28280666055484693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--314.54</f>
        <v>314.54000000000002</v>
      </c>
      <c r="E13" s="2"/>
      <c r="F13" s="19"/>
      <c r="G13" s="2"/>
      <c r="H13" s="2"/>
      <c r="I13" s="2"/>
      <c r="J13" s="19"/>
      <c r="K13" s="2"/>
      <c r="L13" s="2">
        <f t="shared" si="0"/>
        <v>314.54000000000002</v>
      </c>
      <c r="M13" s="2"/>
      <c r="N13" s="19">
        <f t="shared" si="1"/>
        <v>0</v>
      </c>
      <c r="O13" s="11"/>
      <c r="P13" s="2">
        <f>--2583.87</f>
        <v>2583.87</v>
      </c>
      <c r="Q13" s="2"/>
      <c r="R13" s="19"/>
      <c r="S13" s="2"/>
      <c r="T13" s="2"/>
      <c r="U13" s="2"/>
      <c r="V13" s="19"/>
      <c r="W13" s="2"/>
      <c r="X13" s="2">
        <f t="shared" si="2"/>
        <v>2583.87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887040</v>
      </c>
      <c r="I14" s="2"/>
      <c r="J14" s="19"/>
      <c r="K14" s="2"/>
      <c r="L14" s="2">
        <f t="shared" si="0"/>
        <v>-887040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4515840</v>
      </c>
      <c r="U14" s="2"/>
      <c r="V14" s="19"/>
      <c r="W14" s="2"/>
      <c r="X14" s="2">
        <f t="shared" si="2"/>
        <v>-4515840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--958820.66</f>
        <v>958820.66</v>
      </c>
      <c r="E15" s="2"/>
      <c r="F15" s="19"/>
      <c r="G15" s="2"/>
      <c r="H15" s="2"/>
      <c r="I15" s="2"/>
      <c r="J15" s="19"/>
      <c r="K15" s="2"/>
      <c r="L15" s="2">
        <f t="shared" si="0"/>
        <v>958820.66</v>
      </c>
      <c r="M15" s="2"/>
      <c r="N15" s="19">
        <f t="shared" si="1"/>
        <v>0</v>
      </c>
      <c r="O15" s="11"/>
      <c r="P15" s="2">
        <f>--5733899.77</f>
        <v>5733899.7699999996</v>
      </c>
      <c r="Q15" s="2"/>
      <c r="R15" s="19"/>
      <c r="S15" s="2"/>
      <c r="T15" s="2"/>
      <c r="U15" s="2"/>
      <c r="V15" s="19"/>
      <c r="W15" s="2"/>
      <c r="X15" s="2">
        <f t="shared" si="2"/>
        <v>5733899.7699999996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--5696.16</f>
        <v>5696.16</v>
      </c>
      <c r="E16" s="2"/>
      <c r="F16" s="19"/>
      <c r="G16" s="2"/>
      <c r="H16" s="2"/>
      <c r="I16" s="2"/>
      <c r="J16" s="19"/>
      <c r="K16" s="2"/>
      <c r="L16" s="2">
        <f t="shared" si="0"/>
        <v>5696.16</v>
      </c>
      <c r="M16" s="2"/>
      <c r="N16" s="19">
        <f t="shared" si="1"/>
        <v>0</v>
      </c>
      <c r="O16" s="11"/>
      <c r="P16" s="2">
        <f>--56465.99</f>
        <v>56465.99</v>
      </c>
      <c r="Q16" s="2"/>
      <c r="R16" s="19"/>
      <c r="S16" s="2"/>
      <c r="T16" s="2"/>
      <c r="U16" s="2"/>
      <c r="V16" s="19"/>
      <c r="W16" s="2"/>
      <c r="X16" s="2">
        <f t="shared" si="2"/>
        <v>56465.99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225578.85</v>
      </c>
      <c r="E18" s="4"/>
      <c r="F18" s="12">
        <f t="shared" ref="F18:F21" si="4">IF(D$12=0,0,D18/D$12)</f>
        <v>0.23380132461697761</v>
      </c>
      <c r="G18" s="4"/>
      <c r="H18" s="4">
        <f>SUM(OSRRefH16x_0)</f>
        <v>253282</v>
      </c>
      <c r="I18" s="4"/>
      <c r="J18" s="12">
        <f t="shared" ref="J18:J21" si="5">IF(H$12=0,0,H18/H$12)</f>
        <v>0.28553616522366521</v>
      </c>
      <c r="K18" s="4"/>
      <c r="L18" s="4">
        <f t="shared" ref="L18:L21" si="6">+D18-H18</f>
        <v>-27703.149999999994</v>
      </c>
      <c r="M18" s="4"/>
      <c r="N18" s="12">
        <f t="shared" ref="N18:N21" si="7">IF(H18=0,0,L18/H18)</f>
        <v>-0.10937670264764174</v>
      </c>
      <c r="O18" s="10"/>
      <c r="P18" s="4">
        <f>SUM(OSRRefP16x_0)</f>
        <v>1504148.27</v>
      </c>
      <c r="Q18" s="4"/>
      <c r="R18" s="12">
        <f t="shared" ref="R18:R21" si="8">IF(P$12=0,0,P18/P$12)</f>
        <v>0.25965153610355146</v>
      </c>
      <c r="S18" s="4"/>
      <c r="T18" s="4">
        <f>SUM(OSRRefT16x_0)</f>
        <v>1287002</v>
      </c>
      <c r="U18" s="4"/>
      <c r="V18" s="12">
        <f t="shared" ref="V18:V21" si="9">IF(T$12=0,0,T18/T$12)</f>
        <v>0.28499725410997734</v>
      </c>
      <c r="W18" s="4"/>
      <c r="X18" s="4">
        <f t="shared" ref="X18:X21" si="10">+P18-T18</f>
        <v>217146.27000000002</v>
      </c>
      <c r="Y18" s="4"/>
      <c r="Z18" s="12">
        <f t="shared" ref="Z18:Z21" si="11">IF(T18=0,0,X18/T18)</f>
        <v>0.16872255831770272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253282</v>
      </c>
      <c r="I19" s="2"/>
      <c r="J19" s="19">
        <f t="shared" si="5"/>
        <v>0.28553616522366521</v>
      </c>
      <c r="K19" s="2"/>
      <c r="L19" s="2">
        <f t="shared" si="6"/>
        <v>-253282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1287002</v>
      </c>
      <c r="U19" s="2"/>
      <c r="V19" s="19">
        <f t="shared" si="9"/>
        <v>0.28499725410997734</v>
      </c>
      <c r="W19" s="2"/>
      <c r="X19" s="2">
        <f t="shared" si="10"/>
        <v>-1287002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180607.85</v>
      </c>
      <c r="E20" s="2"/>
      <c r="F20" s="19">
        <f t="shared" si="4"/>
        <v>0.1871911066406465</v>
      </c>
      <c r="G20" s="2"/>
      <c r="H20" s="2"/>
      <c r="I20" s="2"/>
      <c r="J20" s="19">
        <f t="shared" si="5"/>
        <v>0</v>
      </c>
      <c r="K20" s="2"/>
      <c r="L20" s="2">
        <f t="shared" si="6"/>
        <v>180607.85</v>
      </c>
      <c r="M20" s="2"/>
      <c r="N20" s="19">
        <f t="shared" si="7"/>
        <v>0</v>
      </c>
      <c r="O20" s="11"/>
      <c r="P20" s="2">
        <v>1511407.33</v>
      </c>
      <c r="Q20" s="2"/>
      <c r="R20" s="19">
        <f t="shared" si="8"/>
        <v>0.26090462139923698</v>
      </c>
      <c r="S20" s="2"/>
      <c r="T20" s="2"/>
      <c r="U20" s="2"/>
      <c r="V20" s="19">
        <f t="shared" si="9"/>
        <v>0</v>
      </c>
      <c r="W20" s="2"/>
      <c r="X20" s="2">
        <f t="shared" si="10"/>
        <v>1511407.33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44971</v>
      </c>
      <c r="E21" s="2"/>
      <c r="F21" s="19">
        <f t="shared" si="4"/>
        <v>4.6610217976331116E-2</v>
      </c>
      <c r="G21" s="2"/>
      <c r="H21" s="2"/>
      <c r="I21" s="2"/>
      <c r="J21" s="19">
        <f t="shared" si="5"/>
        <v>0</v>
      </c>
      <c r="K21" s="2"/>
      <c r="L21" s="2">
        <f t="shared" si="6"/>
        <v>44971</v>
      </c>
      <c r="M21" s="2"/>
      <c r="N21" s="19">
        <f t="shared" si="7"/>
        <v>0</v>
      </c>
      <c r="O21" s="11"/>
      <c r="P21" s="2">
        <v>-7259.06</v>
      </c>
      <c r="Q21" s="2"/>
      <c r="R21" s="19">
        <f t="shared" si="8"/>
        <v>-1.2530852956855419E-3</v>
      </c>
      <c r="S21" s="2"/>
      <c r="T21" s="2"/>
      <c r="U21" s="2"/>
      <c r="V21" s="19">
        <f t="shared" si="9"/>
        <v>0</v>
      </c>
      <c r="W21" s="2"/>
      <c r="X21" s="2">
        <f t="shared" si="10"/>
        <v>-7259.06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739252.51000000013</v>
      </c>
      <c r="E23" s="13"/>
      <c r="F23" s="22">
        <f>IF(D$12=0,0,D23/D$12)</f>
        <v>0.76619867538302244</v>
      </c>
      <c r="G23" s="13"/>
      <c r="H23" s="20">
        <f>H12-H18</f>
        <v>633758</v>
      </c>
      <c r="I23" s="13"/>
      <c r="J23" s="22">
        <f>IF(H$12=0,0,H23/H$12)</f>
        <v>0.71446383477633479</v>
      </c>
      <c r="K23" s="16"/>
      <c r="L23" s="20">
        <f>+D23-H23</f>
        <v>105494.51000000013</v>
      </c>
      <c r="M23" s="16"/>
      <c r="N23" s="22">
        <f>IF(H23=0,0,L23/H23)</f>
        <v>0.16645866403264356</v>
      </c>
      <c r="O23" s="25"/>
      <c r="P23" s="20">
        <f>P12-P18</f>
        <v>4288801.3599999994</v>
      </c>
      <c r="Q23" s="13"/>
      <c r="R23" s="22">
        <f>IF(P$12=0,0,P23/P$12)</f>
        <v>0.74034846389644848</v>
      </c>
      <c r="S23" s="13"/>
      <c r="T23" s="20">
        <f>T12-T18</f>
        <v>3228838</v>
      </c>
      <c r="U23" s="13"/>
      <c r="V23" s="22">
        <f>IF(T$12=0,0,T23/T$12)</f>
        <v>0.71500274589002266</v>
      </c>
      <c r="W23" s="16"/>
      <c r="X23" s="20">
        <f>+P23-T23</f>
        <v>1059963.3599999994</v>
      </c>
      <c r="Y23" s="16"/>
      <c r="Z23" s="22">
        <f>IF(T23=0,0,X23/T23)</f>
        <v>0.32828013049895949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456769.11999999994</v>
      </c>
      <c r="E25" s="21"/>
      <c r="F25" s="32">
        <f t="shared" ref="F25:F36" si="12">IF(D$12=0,0,D25/D$12)</f>
        <v>0.47341860861570656</v>
      </c>
      <c r="G25" s="21"/>
      <c r="H25" s="21">
        <f>SUM(OSRRefH22x_0)</f>
        <v>503158.27232506603</v>
      </c>
      <c r="I25" s="21"/>
      <c r="J25" s="32">
        <f t="shared" ref="J25:J36" si="13">IF(H$12=0,0,H25/H$12)</f>
        <v>0.56723290079936195</v>
      </c>
      <c r="K25" s="4"/>
      <c r="L25" s="21">
        <f t="shared" ref="L25:L36" si="14">+D25-H25</f>
        <v>-46389.152325066098</v>
      </c>
      <c r="M25" s="4"/>
      <c r="N25" s="32">
        <f t="shared" ref="N25:N36" si="15">IF(H25=0,0,L25/H25)</f>
        <v>-9.2195944847939068E-2</v>
      </c>
      <c r="O25" s="10"/>
      <c r="P25" s="21">
        <f>SUM(OSRRefP22x_0)</f>
        <v>2699262.2300000004</v>
      </c>
      <c r="Q25" s="21"/>
      <c r="R25" s="32">
        <f t="shared" ref="R25:R36" si="16">IF(P$12=0,0,P25/P$12)</f>
        <v>0.46595644747561882</v>
      </c>
      <c r="S25" s="21"/>
      <c r="T25" s="21">
        <f>SUM(OSRRefT22x_0)</f>
        <v>2991276.5346129299</v>
      </c>
      <c r="U25" s="21"/>
      <c r="V25" s="32">
        <f t="shared" ref="V25:V36" si="17">IF(T$12=0,0,T25/T$12)</f>
        <v>0.66239648318207245</v>
      </c>
      <c r="W25" s="4"/>
      <c r="X25" s="21">
        <f t="shared" ref="X25:X36" si="18">+P25-T25</f>
        <v>-292014.30461292947</v>
      </c>
      <c r="Y25" s="4"/>
      <c r="Z25" s="32">
        <f t="shared" ref="Z25:Z36" si="19">IF(T25=0,0,X25/T25)</f>
        <v>-9.7621968826334546E-2</v>
      </c>
    </row>
    <row r="26" spans="1:26" s="28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84916.609999999986</v>
      </c>
      <c r="E26" s="1"/>
      <c r="F26" s="5">
        <f t="shared" si="12"/>
        <v>8.8011867690536066E-2</v>
      </c>
      <c r="G26" s="1"/>
      <c r="H26" s="1">
        <f>SUM(OSRRefH22_0x_0)</f>
        <v>106007.63537121993</v>
      </c>
      <c r="I26" s="1"/>
      <c r="J26" s="5">
        <f t="shared" si="13"/>
        <v>0.11950716469518842</v>
      </c>
      <c r="K26" s="1"/>
      <c r="L26" s="1">
        <f t="shared" si="14"/>
        <v>-21091.025371219948</v>
      </c>
      <c r="M26" s="1"/>
      <c r="N26" s="5">
        <f t="shared" si="15"/>
        <v>-0.19895760618905345</v>
      </c>
      <c r="O26" s="14"/>
      <c r="P26" s="1">
        <f>SUM(OSRRefP22_0x_0)</f>
        <v>511169.62</v>
      </c>
      <c r="Q26" s="1"/>
      <c r="R26" s="5">
        <f t="shared" si="16"/>
        <v>8.8239955920348653E-2</v>
      </c>
      <c r="S26" s="1"/>
      <c r="T26" s="1">
        <f>SUM(OSRRefT22_0x_0)</f>
        <v>672584.56691292999</v>
      </c>
      <c r="U26" s="1"/>
      <c r="V26" s="5">
        <f t="shared" si="17"/>
        <v>0.14893897191063679</v>
      </c>
      <c r="W26" s="1"/>
      <c r="X26" s="1">
        <f t="shared" si="18"/>
        <v>-161414.94691293</v>
      </c>
      <c r="Y26" s="1"/>
      <c r="Z26" s="5">
        <f t="shared" si="19"/>
        <v>-0.23999204687940173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6">
        <v>10959.95</v>
      </c>
      <c r="E27" s="2"/>
      <c r="F27" s="7">
        <f t="shared" si="12"/>
        <v>1.1359446276704771E-2</v>
      </c>
      <c r="G27" s="2"/>
      <c r="H27" s="6">
        <v>11608.6223696815</v>
      </c>
      <c r="I27" s="2"/>
      <c r="J27" s="7">
        <f t="shared" si="13"/>
        <v>1.308692096149159E-2</v>
      </c>
      <c r="K27" s="2"/>
      <c r="L27" s="6">
        <f t="shared" si="14"/>
        <v>-648.67236968149882</v>
      </c>
      <c r="M27" s="2"/>
      <c r="N27" s="7">
        <f t="shared" si="15"/>
        <v>-5.587849695030575E-2</v>
      </c>
      <c r="O27" s="11"/>
      <c r="P27" s="6">
        <v>72790.12</v>
      </c>
      <c r="Q27" s="2"/>
      <c r="R27" s="7">
        <f t="shared" si="16"/>
        <v>1.256529482373559E-2</v>
      </c>
      <c r="S27" s="2"/>
      <c r="T27" s="6">
        <v>76883.329902929996</v>
      </c>
      <c r="U27" s="2"/>
      <c r="V27" s="7">
        <f t="shared" si="17"/>
        <v>1.7025255523430857E-2</v>
      </c>
      <c r="W27" s="2"/>
      <c r="X27" s="6">
        <f t="shared" si="18"/>
        <v>-4093.2099029300007</v>
      </c>
      <c r="Y27" s="2"/>
      <c r="Z27" s="7">
        <f t="shared" si="19"/>
        <v>-5.3239238051966974E-2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8041.97</v>
      </c>
      <c r="E28" s="2"/>
      <c r="F28" s="7">
        <f t="shared" si="12"/>
        <v>8.3351042818508719E-3</v>
      </c>
      <c r="G28" s="2"/>
      <c r="H28" s="6">
        <v>9975.5344022923091</v>
      </c>
      <c r="I28" s="2"/>
      <c r="J28" s="7">
        <f t="shared" si="13"/>
        <v>1.1245867607201827E-2</v>
      </c>
      <c r="K28" s="2"/>
      <c r="L28" s="6">
        <f t="shared" si="14"/>
        <v>-1933.5644022923088</v>
      </c>
      <c r="M28" s="2"/>
      <c r="N28" s="7">
        <f t="shared" si="15"/>
        <v>-0.19383065852070933</v>
      </c>
      <c r="O28" s="11"/>
      <c r="P28" s="6">
        <v>44767.56</v>
      </c>
      <c r="Q28" s="2"/>
      <c r="R28" s="7">
        <f t="shared" si="16"/>
        <v>7.7279387633826186E-3</v>
      </c>
      <c r="S28" s="2"/>
      <c r="T28" s="6">
        <v>60055.369039899997</v>
      </c>
      <c r="U28" s="2"/>
      <c r="V28" s="7">
        <f t="shared" si="17"/>
        <v>1.3298825697965384E-2</v>
      </c>
      <c r="W28" s="2"/>
      <c r="X28" s="6">
        <f t="shared" si="18"/>
        <v>-15287.809039899999</v>
      </c>
      <c r="Y28" s="2"/>
      <c r="Z28" s="7">
        <f t="shared" si="19"/>
        <v>-0.25456190319541588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6">
        <v>44247.77</v>
      </c>
      <c r="E29" s="2"/>
      <c r="F29" s="7">
        <f t="shared" si="12"/>
        <v>4.5860625840354101E-2</v>
      </c>
      <c r="G29" s="2"/>
      <c r="H29" s="6">
        <v>61886.692307692298</v>
      </c>
      <c r="I29" s="2"/>
      <c r="J29" s="7">
        <f t="shared" si="13"/>
        <v>6.9767645548895543E-2</v>
      </c>
      <c r="K29" s="2"/>
      <c r="L29" s="6">
        <f t="shared" si="14"/>
        <v>-17638.922307692301</v>
      </c>
      <c r="M29" s="2"/>
      <c r="N29" s="7">
        <f t="shared" si="15"/>
        <v>-0.28501963265372071</v>
      </c>
      <c r="O29" s="11"/>
      <c r="P29" s="6">
        <v>259012.87</v>
      </c>
      <c r="Q29" s="2"/>
      <c r="R29" s="7">
        <f t="shared" si="16"/>
        <v>4.4711742125056249E-2</v>
      </c>
      <c r="S29" s="2"/>
      <c r="T29" s="6">
        <v>395310</v>
      </c>
      <c r="U29" s="2"/>
      <c r="V29" s="7">
        <f t="shared" si="17"/>
        <v>8.7538531037414963E-2</v>
      </c>
      <c r="W29" s="2"/>
      <c r="X29" s="6">
        <f t="shared" si="18"/>
        <v>-136297.13</v>
      </c>
      <c r="Y29" s="2"/>
      <c r="Z29" s="7">
        <f t="shared" si="19"/>
        <v>-0.34478543421618479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580.82000000000005</v>
      </c>
      <c r="E30" s="2"/>
      <c r="F30" s="7">
        <f t="shared" si="12"/>
        <v>6.0199121222593763E-4</v>
      </c>
      <c r="G30" s="2"/>
      <c r="H30" s="6">
        <v>552.73409616923095</v>
      </c>
      <c r="I30" s="2"/>
      <c r="J30" s="7">
        <f t="shared" si="13"/>
        <v>6.2312195185023332E-4</v>
      </c>
      <c r="K30" s="2"/>
      <c r="L30" s="6">
        <f t="shared" si="14"/>
        <v>28.085903830769098</v>
      </c>
      <c r="M30" s="2"/>
      <c r="N30" s="7">
        <f t="shared" si="15"/>
        <v>5.0812685566931297E-2</v>
      </c>
      <c r="O30" s="11"/>
      <c r="P30" s="6">
        <v>3233.22</v>
      </c>
      <c r="Q30" s="2"/>
      <c r="R30" s="7">
        <f t="shared" si="16"/>
        <v>5.5813017659537287E-4</v>
      </c>
      <c r="S30" s="2"/>
      <c r="T30" s="6">
        <v>3327.6062001</v>
      </c>
      <c r="U30" s="2"/>
      <c r="V30" s="7">
        <f t="shared" si="17"/>
        <v>7.368742471168155E-4</v>
      </c>
      <c r="W30" s="2"/>
      <c r="X30" s="6">
        <f t="shared" si="18"/>
        <v>-94.386200100000224</v>
      </c>
      <c r="Y30" s="2"/>
      <c r="Z30" s="7">
        <f t="shared" si="19"/>
        <v>-2.8364594373325714E-2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6">
        <v>4076.1</v>
      </c>
      <c r="E31" s="2"/>
      <c r="F31" s="7">
        <f t="shared" si="12"/>
        <v>4.2246761133468954E-3</v>
      </c>
      <c r="G31" s="2"/>
      <c r="H31" s="6">
        <v>3831.97668769231</v>
      </c>
      <c r="I31" s="2"/>
      <c r="J31" s="7">
        <f t="shared" si="13"/>
        <v>4.3199592889749169E-3</v>
      </c>
      <c r="K31" s="2"/>
      <c r="L31" s="6">
        <f t="shared" si="14"/>
        <v>244.12331230768996</v>
      </c>
      <c r="M31" s="2"/>
      <c r="N31" s="7">
        <f t="shared" si="15"/>
        <v>6.3706888690574393E-2</v>
      </c>
      <c r="O31" s="11"/>
      <c r="P31" s="6">
        <v>25398.52</v>
      </c>
      <c r="Q31" s="2"/>
      <c r="R31" s="7">
        <f t="shared" si="16"/>
        <v>4.3843847473605604E-3</v>
      </c>
      <c r="S31" s="2"/>
      <c r="T31" s="6">
        <v>24907.848470000001</v>
      </c>
      <c r="U31" s="2"/>
      <c r="V31" s="7">
        <f t="shared" si="17"/>
        <v>5.5156623064590423E-3</v>
      </c>
      <c r="W31" s="2"/>
      <c r="X31" s="6">
        <f t="shared" si="18"/>
        <v>490.67152999999962</v>
      </c>
      <c r="Y31" s="2"/>
      <c r="Z31" s="7">
        <f t="shared" si="19"/>
        <v>1.9699474669238649E-2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"6117", " - ", "RETIREMENT STAFF HOURLY")</f>
        <v xml:space="preserve">          6117 - RETIREMENT STAFF HOURLY</v>
      </c>
      <c r="C33" s="11"/>
      <c r="D33" s="6">
        <v>1654.25</v>
      </c>
      <c r="E33" s="2"/>
      <c r="F33" s="7">
        <f t="shared" si="12"/>
        <v>1.7145483330890073E-3</v>
      </c>
      <c r="G33" s="2"/>
      <c r="H33" s="6"/>
      <c r="I33" s="2"/>
      <c r="J33" s="7">
        <f t="shared" si="13"/>
        <v>0</v>
      </c>
      <c r="K33" s="2"/>
      <c r="L33" s="6">
        <f t="shared" si="14"/>
        <v>1654.25</v>
      </c>
      <c r="M33" s="2"/>
      <c r="N33" s="7">
        <f t="shared" si="15"/>
        <v>0</v>
      </c>
      <c r="O33" s="11"/>
      <c r="P33" s="6">
        <v>9944.23</v>
      </c>
      <c r="Q33" s="2"/>
      <c r="R33" s="7">
        <f t="shared" si="16"/>
        <v>1.7166090912480452E-3</v>
      </c>
      <c r="S33" s="2"/>
      <c r="T33" s="6"/>
      <c r="U33" s="2"/>
      <c r="V33" s="7">
        <f t="shared" si="17"/>
        <v>0</v>
      </c>
      <c r="W33" s="2"/>
      <c r="X33" s="6">
        <f t="shared" si="18"/>
        <v>9944.23</v>
      </c>
      <c r="Y33" s="2"/>
      <c r="Z33" s="7">
        <f t="shared" si="19"/>
        <v>0</v>
      </c>
    </row>
    <row r="34" spans="1:26" s="24" customFormat="1" hidden="1" outlineLevel="2" x14ac:dyDescent="0.3">
      <c r="A34" s="29"/>
      <c r="B34" s="11" t="str">
        <f>CONCATENATE("          ", "6118", " - ", "VACATION")</f>
        <v xml:space="preserve">          6118 - VACATION</v>
      </c>
      <c r="C34" s="11"/>
      <c r="D34" s="6">
        <v>6996.26</v>
      </c>
      <c r="E34" s="2"/>
      <c r="F34" s="7">
        <f t="shared" si="12"/>
        <v>7.251277570413963E-3</v>
      </c>
      <c r="G34" s="2"/>
      <c r="H34" s="6">
        <v>5673.2032538461499</v>
      </c>
      <c r="I34" s="2"/>
      <c r="J34" s="7">
        <f t="shared" si="13"/>
        <v>6.3956566263597466E-3</v>
      </c>
      <c r="K34" s="2"/>
      <c r="L34" s="6">
        <f t="shared" si="14"/>
        <v>1323.0567461538503</v>
      </c>
      <c r="M34" s="2"/>
      <c r="N34" s="7">
        <f t="shared" si="15"/>
        <v>0.23321158910653933</v>
      </c>
      <c r="O34" s="11"/>
      <c r="P34" s="6">
        <v>43719.93</v>
      </c>
      <c r="Q34" s="2"/>
      <c r="R34" s="7">
        <f t="shared" si="16"/>
        <v>7.5470930687170507E-3</v>
      </c>
      <c r="S34" s="2"/>
      <c r="T34" s="6">
        <v>36875.821150000003</v>
      </c>
      <c r="U34" s="2"/>
      <c r="V34" s="7">
        <f t="shared" si="17"/>
        <v>8.1658830140128973E-3</v>
      </c>
      <c r="W34" s="2"/>
      <c r="X34" s="6">
        <f t="shared" si="18"/>
        <v>6844.1088499999969</v>
      </c>
      <c r="Y34" s="2"/>
      <c r="Z34" s="7">
        <f t="shared" si="19"/>
        <v>0.18559881886182747</v>
      </c>
    </row>
    <row r="35" spans="1:26" s="24" customFormat="1" hidden="1" outlineLevel="2" x14ac:dyDescent="0.3">
      <c r="A35" s="29"/>
      <c r="B35" s="11" t="str">
        <f>CONCATENATE("          ", "6119", " - ", "SICK LEAVE")</f>
        <v xml:space="preserve">          6119 - SICK LEAVE</v>
      </c>
      <c r="C35" s="11"/>
      <c r="D35" s="6">
        <v>5283.9</v>
      </c>
      <c r="E35" s="2"/>
      <c r="F35" s="7">
        <f t="shared" si="12"/>
        <v>5.476501095486779E-3</v>
      </c>
      <c r="G35" s="2"/>
      <c r="H35" s="6">
        <v>8278.8722538461498</v>
      </c>
      <c r="I35" s="2"/>
      <c r="J35" s="7">
        <f t="shared" si="13"/>
        <v>9.3331442255660951E-3</v>
      </c>
      <c r="K35" s="2"/>
      <c r="L35" s="6">
        <f t="shared" si="14"/>
        <v>-2994.9722538461501</v>
      </c>
      <c r="M35" s="2"/>
      <c r="N35" s="7">
        <f t="shared" si="15"/>
        <v>-0.36176089713846754</v>
      </c>
      <c r="O35" s="11"/>
      <c r="P35" s="6">
        <v>31943.08</v>
      </c>
      <c r="Q35" s="2"/>
      <c r="R35" s="7">
        <f t="shared" si="16"/>
        <v>5.514130458614052E-3</v>
      </c>
      <c r="S35" s="2"/>
      <c r="T35" s="6">
        <v>50024.592149999997</v>
      </c>
      <c r="U35" s="2"/>
      <c r="V35" s="7">
        <f t="shared" si="17"/>
        <v>1.1077582941379676E-2</v>
      </c>
      <c r="W35" s="2"/>
      <c r="X35" s="6">
        <f t="shared" si="18"/>
        <v>-18081.512149999995</v>
      </c>
      <c r="Y35" s="2"/>
      <c r="Z35" s="7">
        <f t="shared" si="19"/>
        <v>-0.36145246513519041</v>
      </c>
    </row>
    <row r="36" spans="1:26" s="24" customFormat="1" hidden="1" outlineLevel="2" x14ac:dyDescent="0.3">
      <c r="A36" s="29"/>
      <c r="B36" s="11" t="str">
        <f>CONCATENATE("          ", "6156", " - ", "EMPLOYEE MEALS")</f>
        <v xml:space="preserve">          6156 - EMPLOYEE MEALS</v>
      </c>
      <c r="C36" s="11"/>
      <c r="D36" s="6">
        <v>3075.59</v>
      </c>
      <c r="E36" s="2"/>
      <c r="F36" s="7">
        <f t="shared" si="12"/>
        <v>3.187696967063757E-3</v>
      </c>
      <c r="G36" s="2"/>
      <c r="H36" s="6">
        <v>4200</v>
      </c>
      <c r="I36" s="2"/>
      <c r="J36" s="7">
        <f t="shared" si="13"/>
        <v>4.734848484848485E-3</v>
      </c>
      <c r="K36" s="2"/>
      <c r="L36" s="6">
        <f t="shared" si="14"/>
        <v>-1124.4099999999999</v>
      </c>
      <c r="M36" s="2"/>
      <c r="N36" s="7">
        <f t="shared" si="15"/>
        <v>-0.26771666666666666</v>
      </c>
      <c r="O36" s="11"/>
      <c r="P36" s="6">
        <v>20360.09</v>
      </c>
      <c r="Q36" s="2"/>
      <c r="R36" s="7">
        <f t="shared" si="16"/>
        <v>3.5146326656391108E-3</v>
      </c>
      <c r="S36" s="2"/>
      <c r="T36" s="6">
        <v>25200</v>
      </c>
      <c r="U36" s="2"/>
      <c r="V36" s="7">
        <f t="shared" si="17"/>
        <v>5.580357142857143E-3</v>
      </c>
      <c r="W36" s="2"/>
      <c r="X36" s="6">
        <f t="shared" si="18"/>
        <v>-4839.91</v>
      </c>
      <c r="Y36" s="2"/>
      <c r="Z36" s="7">
        <f t="shared" si="19"/>
        <v>-0.19205992063492064</v>
      </c>
    </row>
    <row r="37" spans="1:26" s="28" customFormat="1" outlineLevel="1" collapsed="1" x14ac:dyDescent="0.3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239115.61000000002</v>
      </c>
      <c r="E37" s="1"/>
      <c r="F37" s="5">
        <f t="shared" ref="F37:F47" si="20">IF(D$12=0,0,D37/D$12)</f>
        <v>0.24783150705217541</v>
      </c>
      <c r="G37" s="1"/>
      <c r="H37" s="1">
        <f>SUM(OSRRefH22_1x_0)</f>
        <v>250391.63695384611</v>
      </c>
      <c r="I37" s="1"/>
      <c r="J37" s="5">
        <f t="shared" ref="J37:J47" si="21">IF(H$12=0,0,H37/H$12)</f>
        <v>0.28227772924991673</v>
      </c>
      <c r="K37" s="1"/>
      <c r="L37" s="1">
        <f t="shared" ref="L37:L47" si="22">+D37-H37</f>
        <v>-11276.0269538461</v>
      </c>
      <c r="M37" s="1"/>
      <c r="N37" s="5">
        <f t="shared" ref="N37:N47" si="23">IF(H37=0,0,L37/H37)</f>
        <v>-4.5033560589424051E-2</v>
      </c>
      <c r="O37" s="14"/>
      <c r="P37" s="1">
        <f>SUM(OSRRefP22_1x_0)</f>
        <v>1334631.6599999999</v>
      </c>
      <c r="Q37" s="1"/>
      <c r="R37" s="5">
        <f t="shared" ref="R37:R47" si="24">IF(P$12=0,0,P37/P$12)</f>
        <v>0.23038896335095527</v>
      </c>
      <c r="S37" s="1"/>
      <c r="T37" s="1">
        <f>SUM(OSRRefT22_1x_0)</f>
        <v>1503406.9676999999</v>
      </c>
      <c r="U37" s="1"/>
      <c r="V37" s="5">
        <f t="shared" ref="V37:V47" si="25">IF(T$12=0,0,T37/T$12)</f>
        <v>0.33291856392166241</v>
      </c>
      <c r="W37" s="1"/>
      <c r="X37" s="1">
        <f t="shared" ref="X37:X47" si="26">+P37-T37</f>
        <v>-168775.3077</v>
      </c>
      <c r="Y37" s="1"/>
      <c r="Z37" s="5">
        <f t="shared" ref="Z37:Z47" si="27">IF(T37=0,0,X37/T37)</f>
        <v>-0.11226189004445174</v>
      </c>
    </row>
    <row r="38" spans="1:26" s="24" customFormat="1" hidden="1" outlineLevel="2" x14ac:dyDescent="0.3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>
        <v>8852.02</v>
      </c>
      <c r="E38" s="2"/>
      <c r="F38" s="7">
        <f t="shared" si="20"/>
        <v>9.1746810551431492E-3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8852.02</v>
      </c>
      <c r="M38" s="2"/>
      <c r="N38" s="7">
        <f t="shared" si="23"/>
        <v>0</v>
      </c>
      <c r="O38" s="11"/>
      <c r="P38" s="6">
        <v>55746.2</v>
      </c>
      <c r="Q38" s="2"/>
      <c r="R38" s="7">
        <f t="shared" si="24"/>
        <v>9.6231114648928848E-3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55746.2</v>
      </c>
      <c r="Y38" s="2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"6002", " - ", "STAFF SALARIES")</f>
        <v xml:space="preserve">          6002 - STAFF SALARIES</v>
      </c>
      <c r="C39" s="11"/>
      <c r="D39" s="6">
        <v>34123.4</v>
      </c>
      <c r="E39" s="2"/>
      <c r="F39" s="7">
        <f t="shared" si="20"/>
        <v>3.5367216919649044E-2</v>
      </c>
      <c r="G39" s="2"/>
      <c r="H39" s="6">
        <v>41973.976353846097</v>
      </c>
      <c r="I39" s="2"/>
      <c r="J39" s="7">
        <f t="shared" si="21"/>
        <v>4.7319147224303408E-2</v>
      </c>
      <c r="K39" s="2"/>
      <c r="L39" s="6">
        <f t="shared" si="22"/>
        <v>-7850.576353846096</v>
      </c>
      <c r="M39" s="2"/>
      <c r="N39" s="7">
        <f t="shared" si="23"/>
        <v>-0.18703437309976811</v>
      </c>
      <c r="O39" s="11"/>
      <c r="P39" s="6">
        <v>224749.56</v>
      </c>
      <c r="Q39" s="2"/>
      <c r="R39" s="7">
        <f t="shared" si="24"/>
        <v>3.8797085138818993E-2</v>
      </c>
      <c r="S39" s="2"/>
      <c r="T39" s="6">
        <v>272830.84629999998</v>
      </c>
      <c r="U39" s="2"/>
      <c r="V39" s="7">
        <f t="shared" si="25"/>
        <v>6.0416411188173182E-2</v>
      </c>
      <c r="W39" s="2"/>
      <c r="X39" s="6">
        <f t="shared" si="26"/>
        <v>-48081.286299999978</v>
      </c>
      <c r="Y39" s="2"/>
      <c r="Z39" s="7">
        <f t="shared" si="27"/>
        <v>-0.17623112251438991</v>
      </c>
    </row>
    <row r="40" spans="1:26" s="24" customFormat="1" hidden="1" outlineLevel="2" x14ac:dyDescent="0.3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"6004", " - ", "STAFF HOURLY")</f>
        <v xml:space="preserve">          6004 - STAFF HOURLY</v>
      </c>
      <c r="C41" s="11"/>
      <c r="D41" s="6">
        <v>66624.19</v>
      </c>
      <c r="E41" s="2"/>
      <c r="F41" s="7">
        <f t="shared" si="20"/>
        <v>6.9052678801816716E-2</v>
      </c>
      <c r="G41" s="2"/>
      <c r="H41" s="6">
        <v>99718.745599999995</v>
      </c>
      <c r="I41" s="2"/>
      <c r="J41" s="7">
        <f t="shared" si="21"/>
        <v>0.11241741702741702</v>
      </c>
      <c r="K41" s="2"/>
      <c r="L41" s="6">
        <f t="shared" si="22"/>
        <v>-33094.555599999992</v>
      </c>
      <c r="M41" s="2"/>
      <c r="N41" s="7">
        <f t="shared" si="23"/>
        <v>-0.33187898023458484</v>
      </c>
      <c r="O41" s="11"/>
      <c r="P41" s="6">
        <v>461714.64</v>
      </c>
      <c r="Q41" s="2"/>
      <c r="R41" s="7">
        <f t="shared" si="24"/>
        <v>7.9702857696002452E-2</v>
      </c>
      <c r="S41" s="2"/>
      <c r="T41" s="6">
        <v>622671.84640000004</v>
      </c>
      <c r="U41" s="2"/>
      <c r="V41" s="7">
        <f t="shared" si="25"/>
        <v>0.13788616213151927</v>
      </c>
      <c r="W41" s="2"/>
      <c r="X41" s="6">
        <f t="shared" si="26"/>
        <v>-160957.20640000002</v>
      </c>
      <c r="Y41" s="2"/>
      <c r="Z41" s="7">
        <f t="shared" si="27"/>
        <v>-0.25849443383473975</v>
      </c>
    </row>
    <row r="42" spans="1:26" s="24" customFormat="1" hidden="1" outlineLevel="2" x14ac:dyDescent="0.3">
      <c r="A42" s="29"/>
      <c r="B42" s="11" t="str">
        <f>CONCATENATE("          ", "6005", " - ", "TEMPORARY WAGES-HOURLY")</f>
        <v xml:space="preserve">          6005 - TEMPORARY WAGES-HOURLY</v>
      </c>
      <c r="C42" s="11"/>
      <c r="D42" s="6">
        <v>45152.2</v>
      </c>
      <c r="E42" s="2"/>
      <c r="F42" s="7">
        <f t="shared" si="20"/>
        <v>4.6798022817168786E-2</v>
      </c>
      <c r="G42" s="2"/>
      <c r="H42" s="6">
        <v>19583.814999999999</v>
      </c>
      <c r="I42" s="2"/>
      <c r="J42" s="7">
        <f t="shared" si="21"/>
        <v>2.2077713519119767E-2</v>
      </c>
      <c r="K42" s="2"/>
      <c r="L42" s="6">
        <f t="shared" si="22"/>
        <v>25568.384999999998</v>
      </c>
      <c r="M42" s="2"/>
      <c r="N42" s="7">
        <f t="shared" si="23"/>
        <v>1.3055875476764869</v>
      </c>
      <c r="O42" s="11"/>
      <c r="P42" s="6">
        <v>248952.62</v>
      </c>
      <c r="Q42" s="2"/>
      <c r="R42" s="7">
        <f t="shared" si="24"/>
        <v>4.2975105240126175E-2</v>
      </c>
      <c r="S42" s="2"/>
      <c r="T42" s="6">
        <v>116160.895</v>
      </c>
      <c r="U42" s="2"/>
      <c r="V42" s="7">
        <f t="shared" si="25"/>
        <v>2.5722987306901927E-2</v>
      </c>
      <c r="W42" s="2"/>
      <c r="X42" s="6">
        <f t="shared" si="26"/>
        <v>132791.72499999998</v>
      </c>
      <c r="Y42" s="2"/>
      <c r="Z42" s="7">
        <f t="shared" si="27"/>
        <v>1.1431706427537422</v>
      </c>
    </row>
    <row r="43" spans="1:26" s="24" customFormat="1" hidden="1" outlineLevel="2" x14ac:dyDescent="0.3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"6007", " - ", "STUDENT HOURLY")</f>
        <v xml:space="preserve">          6007 - STUDENT HOURLY</v>
      </c>
      <c r="C44" s="11"/>
      <c r="D44" s="6">
        <v>53341.760000000002</v>
      </c>
      <c r="E44" s="2"/>
      <c r="F44" s="7">
        <f t="shared" si="20"/>
        <v>5.5286096836653399E-2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53341.760000000002</v>
      </c>
      <c r="M44" s="2"/>
      <c r="N44" s="7">
        <f t="shared" si="23"/>
        <v>0</v>
      </c>
      <c r="O44" s="11"/>
      <c r="P44" s="6">
        <v>268068.63</v>
      </c>
      <c r="Q44" s="2"/>
      <c r="R44" s="7">
        <f t="shared" si="24"/>
        <v>4.6274980298767074E-2</v>
      </c>
      <c r="S44" s="2"/>
      <c r="T44" s="6">
        <v>42825.5</v>
      </c>
      <c r="U44" s="2"/>
      <c r="V44" s="7">
        <f t="shared" si="25"/>
        <v>9.483396223072562E-3</v>
      </c>
      <c r="W44" s="2"/>
      <c r="X44" s="6">
        <f t="shared" si="26"/>
        <v>225243.13</v>
      </c>
      <c r="Y44" s="2"/>
      <c r="Z44" s="7">
        <f t="shared" si="27"/>
        <v>5.259556339097033</v>
      </c>
    </row>
    <row r="45" spans="1:26" s="24" customFormat="1" hidden="1" outlineLevel="2" x14ac:dyDescent="0.3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>
        <v>31022.04</v>
      </c>
      <c r="E45" s="2"/>
      <c r="F45" s="7">
        <f t="shared" si="20"/>
        <v>3.2152810621744299E-2</v>
      </c>
      <c r="G45" s="2"/>
      <c r="H45" s="6">
        <v>89115.1</v>
      </c>
      <c r="I45" s="2"/>
      <c r="J45" s="7">
        <f t="shared" si="21"/>
        <v>0.10046345147907648</v>
      </c>
      <c r="K45" s="2"/>
      <c r="L45" s="6">
        <f t="shared" si="22"/>
        <v>-58093.060000000005</v>
      </c>
      <c r="M45" s="2"/>
      <c r="N45" s="7">
        <f t="shared" si="23"/>
        <v>-0.65188795164904711</v>
      </c>
      <c r="O45" s="11"/>
      <c r="P45" s="6">
        <v>75400.009999999995</v>
      </c>
      <c r="Q45" s="2"/>
      <c r="R45" s="7">
        <f t="shared" si="24"/>
        <v>1.3015823512347716E-2</v>
      </c>
      <c r="S45" s="2"/>
      <c r="T45" s="6">
        <v>448917.88</v>
      </c>
      <c r="U45" s="2"/>
      <c r="V45" s="7">
        <f t="shared" si="25"/>
        <v>9.9409607071995462E-2</v>
      </c>
      <c r="W45" s="2"/>
      <c r="X45" s="6">
        <f t="shared" si="26"/>
        <v>-373517.87</v>
      </c>
      <c r="Y45" s="2"/>
      <c r="Z45" s="7">
        <f t="shared" si="27"/>
        <v>-0.83204052821420249</v>
      </c>
    </row>
    <row r="46" spans="1:26" s="24" customFormat="1" hidden="1" outlineLevel="2" x14ac:dyDescent="0.3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204.12</v>
      </c>
      <c r="E48" s="1"/>
      <c r="F48" s="5">
        <f t="shared" ref="F48:F71" si="28">IF(D$12=0,0,D48/D$12)</f>
        <v>2.1156028759264207E-4</v>
      </c>
      <c r="G48" s="1"/>
      <c r="H48" s="1">
        <f>SUM(OSRRefH22_2x_0)</f>
        <v>1319</v>
      </c>
      <c r="I48" s="1"/>
      <c r="J48" s="5">
        <f t="shared" ref="J48:J71" si="29">IF(H$12=0,0,H48/H$12)</f>
        <v>1.4869678932178932E-3</v>
      </c>
      <c r="K48" s="1"/>
      <c r="L48" s="1">
        <f t="shared" ref="L48:L71" si="30">+D48-H48</f>
        <v>-1114.8800000000001</v>
      </c>
      <c r="M48" s="1"/>
      <c r="N48" s="5">
        <f t="shared" ref="N48:N71" si="31">IF(H48=0,0,L48/H48)</f>
        <v>-0.84524639878695995</v>
      </c>
      <c r="O48" s="14"/>
      <c r="P48" s="1">
        <f>SUM(OSRRefP22_2x_0)</f>
        <v>3197.5</v>
      </c>
      <c r="Q48" s="1"/>
      <c r="R48" s="5">
        <f t="shared" ref="R48:R71" si="32">IF(P$12=0,0,P48/P$12)</f>
        <v>5.5196406049192598E-4</v>
      </c>
      <c r="S48" s="1"/>
      <c r="T48" s="1">
        <f>SUM(OSRRefT22_2x_0)</f>
        <v>7914</v>
      </c>
      <c r="U48" s="1"/>
      <c r="V48" s="5">
        <f t="shared" ref="V48:V71" si="33">IF(T$12=0,0,T48/T$12)</f>
        <v>1.7524978741496598E-3</v>
      </c>
      <c r="W48" s="1"/>
      <c r="X48" s="1">
        <f t="shared" ref="X48:X71" si="34">+P48-T48</f>
        <v>-4716.5</v>
      </c>
      <c r="Y48" s="1"/>
      <c r="Z48" s="5">
        <f t="shared" ref="Z48:Z71" si="35">IF(T48=0,0,X48/T48)</f>
        <v>-0.59596916856204196</v>
      </c>
    </row>
    <row r="49" spans="1:26" s="24" customFormat="1" hidden="1" outlineLevel="2" x14ac:dyDescent="0.3">
      <c r="A49" s="29"/>
      <c r="B49" s="11" t="str">
        <f>CONCATENATE("          ", "6362", " - ", "ADVERTISING EXPENSE")</f>
        <v xml:space="preserve">          6362 - ADVERTISING EXPENSE</v>
      </c>
      <c r="C49" s="11"/>
      <c r="D49" s="6">
        <v>204.12</v>
      </c>
      <c r="E49" s="2"/>
      <c r="F49" s="7">
        <f t="shared" si="28"/>
        <v>2.1156028759264207E-4</v>
      </c>
      <c r="G49" s="2"/>
      <c r="H49" s="6">
        <v>1319</v>
      </c>
      <c r="I49" s="2"/>
      <c r="J49" s="7">
        <f t="shared" si="29"/>
        <v>1.4869678932178932E-3</v>
      </c>
      <c r="K49" s="2"/>
      <c r="L49" s="6">
        <f t="shared" si="30"/>
        <v>-1114.8800000000001</v>
      </c>
      <c r="M49" s="2"/>
      <c r="N49" s="7">
        <f t="shared" si="31"/>
        <v>-0.84524639878695995</v>
      </c>
      <c r="O49" s="11"/>
      <c r="P49" s="6">
        <v>3197.5</v>
      </c>
      <c r="Q49" s="2"/>
      <c r="R49" s="7">
        <f t="shared" si="32"/>
        <v>5.5196406049192598E-4</v>
      </c>
      <c r="S49" s="2"/>
      <c r="T49" s="6">
        <v>7914</v>
      </c>
      <c r="U49" s="2"/>
      <c r="V49" s="7">
        <f t="shared" si="33"/>
        <v>1.7524978741496598E-3</v>
      </c>
      <c r="W49" s="2"/>
      <c r="X49" s="6">
        <f t="shared" si="34"/>
        <v>-4716.5</v>
      </c>
      <c r="Y49" s="2"/>
      <c r="Z49" s="7">
        <f t="shared" si="35"/>
        <v>-0.59596916856204196</v>
      </c>
    </row>
    <row r="50" spans="1:26" s="28" customFormat="1" outlineLevel="1" collapsed="1" x14ac:dyDescent="0.3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33</v>
      </c>
      <c r="I50" s="1"/>
      <c r="J50" s="5">
        <f t="shared" si="29"/>
        <v>3.7202380952380956E-5</v>
      </c>
      <c r="K50" s="1"/>
      <c r="L50" s="1">
        <f t="shared" si="30"/>
        <v>-33</v>
      </c>
      <c r="M50" s="1"/>
      <c r="N50" s="5">
        <f t="shared" si="31"/>
        <v>-1</v>
      </c>
      <c r="O50" s="14"/>
      <c r="P50" s="1">
        <f>SUM(OSRRefP22_3x_0)</f>
        <v>-23.9</v>
      </c>
      <c r="Q50" s="1"/>
      <c r="R50" s="5">
        <f t="shared" si="32"/>
        <v>-4.1257047836613068E-6</v>
      </c>
      <c r="S50" s="1"/>
      <c r="T50" s="1">
        <f>SUM(OSRRefT22_3x_0)</f>
        <v>180</v>
      </c>
      <c r="U50" s="1"/>
      <c r="V50" s="5">
        <f t="shared" si="33"/>
        <v>3.9859693877551017E-5</v>
      </c>
      <c r="W50" s="1"/>
      <c r="X50" s="1">
        <f t="shared" si="34"/>
        <v>-203.9</v>
      </c>
      <c r="Y50" s="1"/>
      <c r="Z50" s="5">
        <f t="shared" si="35"/>
        <v>-1.1327777777777779</v>
      </c>
    </row>
    <row r="51" spans="1:26" s="24" customFormat="1" hidden="1" outlineLevel="2" x14ac:dyDescent="0.3">
      <c r="A51" s="29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33</v>
      </c>
      <c r="I51" s="2"/>
      <c r="J51" s="7">
        <f t="shared" si="29"/>
        <v>3.7202380952380956E-5</v>
      </c>
      <c r="K51" s="2"/>
      <c r="L51" s="6">
        <f t="shared" si="30"/>
        <v>-33</v>
      </c>
      <c r="M51" s="2"/>
      <c r="N51" s="7">
        <f t="shared" si="31"/>
        <v>-1</v>
      </c>
      <c r="O51" s="11"/>
      <c r="P51" s="6">
        <v>-23.9</v>
      </c>
      <c r="Q51" s="2"/>
      <c r="R51" s="7">
        <f t="shared" si="32"/>
        <v>-4.1257047836613068E-6</v>
      </c>
      <c r="S51" s="2"/>
      <c r="T51" s="6">
        <v>180</v>
      </c>
      <c r="U51" s="2"/>
      <c r="V51" s="7">
        <f t="shared" si="33"/>
        <v>3.9859693877551017E-5</v>
      </c>
      <c r="W51" s="2"/>
      <c r="X51" s="6">
        <f t="shared" si="34"/>
        <v>-203.9</v>
      </c>
      <c r="Y51" s="2"/>
      <c r="Z51" s="7">
        <f t="shared" si="35"/>
        <v>-1.1327777777777779</v>
      </c>
    </row>
    <row r="52" spans="1:26" s="28" customFormat="1" outlineLevel="1" collapsed="1" x14ac:dyDescent="0.3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204.84</v>
      </c>
      <c r="E52" s="1"/>
      <c r="F52" s="5">
        <f t="shared" si="28"/>
        <v>2.123065319933216E-4</v>
      </c>
      <c r="G52" s="1"/>
      <c r="H52" s="1">
        <f>SUM(OSRRefH22_4x_0)</f>
        <v>410</v>
      </c>
      <c r="I52" s="1"/>
      <c r="J52" s="5">
        <f t="shared" si="29"/>
        <v>4.6221139971139969E-4</v>
      </c>
      <c r="K52" s="1"/>
      <c r="L52" s="1">
        <f t="shared" si="30"/>
        <v>-205.16</v>
      </c>
      <c r="M52" s="1"/>
      <c r="N52" s="5">
        <f t="shared" si="31"/>
        <v>-0.50039024390243902</v>
      </c>
      <c r="O52" s="14"/>
      <c r="P52" s="1">
        <f>SUM(OSRRefP22_4x_0)</f>
        <v>843.69</v>
      </c>
      <c r="Q52" s="1"/>
      <c r="R52" s="5">
        <f t="shared" si="32"/>
        <v>1.4564083133586646E-4</v>
      </c>
      <c r="S52" s="1"/>
      <c r="T52" s="1">
        <f>SUM(OSRRefT22_4x_0)</f>
        <v>2435</v>
      </c>
      <c r="U52" s="1"/>
      <c r="V52" s="5">
        <f t="shared" si="33"/>
        <v>5.3921308106575966E-4</v>
      </c>
      <c r="W52" s="1"/>
      <c r="X52" s="1">
        <f t="shared" si="34"/>
        <v>-1591.31</v>
      </c>
      <c r="Y52" s="1"/>
      <c r="Z52" s="5">
        <f t="shared" si="35"/>
        <v>-0.65351540041067757</v>
      </c>
    </row>
    <row r="53" spans="1:26" s="24" customFormat="1" hidden="1" outlineLevel="2" x14ac:dyDescent="0.3">
      <c r="A53" s="29"/>
      <c r="B53" s="11" t="str">
        <f>CONCATENATE("          ", "6381", " - ", "BANK/CREDIT CARD FEES")</f>
        <v xml:space="preserve">          6381 - BANK/CREDIT CARD FEES</v>
      </c>
      <c r="C53" s="11"/>
      <c r="D53" s="6">
        <v>204.84</v>
      </c>
      <c r="E53" s="2"/>
      <c r="F53" s="7">
        <f t="shared" si="28"/>
        <v>2.123065319933216E-4</v>
      </c>
      <c r="G53" s="2"/>
      <c r="H53" s="6">
        <v>410</v>
      </c>
      <c r="I53" s="2"/>
      <c r="J53" s="7">
        <f t="shared" si="29"/>
        <v>4.6221139971139969E-4</v>
      </c>
      <c r="K53" s="2"/>
      <c r="L53" s="6">
        <f t="shared" si="30"/>
        <v>-205.16</v>
      </c>
      <c r="M53" s="2"/>
      <c r="N53" s="7">
        <f t="shared" si="31"/>
        <v>-0.50039024390243902</v>
      </c>
      <c r="O53" s="11"/>
      <c r="P53" s="6">
        <v>843.69</v>
      </c>
      <c r="Q53" s="2"/>
      <c r="R53" s="7">
        <f t="shared" si="32"/>
        <v>1.4564083133586646E-4</v>
      </c>
      <c r="S53" s="2"/>
      <c r="T53" s="6">
        <v>2435</v>
      </c>
      <c r="U53" s="2"/>
      <c r="V53" s="7">
        <f t="shared" si="33"/>
        <v>5.3921308106575966E-4</v>
      </c>
      <c r="W53" s="2"/>
      <c r="X53" s="6">
        <f t="shared" si="34"/>
        <v>-1591.31</v>
      </c>
      <c r="Y53" s="2"/>
      <c r="Z53" s="7">
        <f t="shared" si="35"/>
        <v>-0.65351540041067757</v>
      </c>
    </row>
    <row r="54" spans="1:26" s="28" customFormat="1" outlineLevel="1" collapsed="1" x14ac:dyDescent="0.3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760.04</v>
      </c>
      <c r="E54" s="1"/>
      <c r="F54" s="5">
        <f t="shared" si="28"/>
        <v>7.8774388096174641E-4</v>
      </c>
      <c r="G54" s="1"/>
      <c r="H54" s="1">
        <f>SUM(OSRRefH22_5x_0)</f>
        <v>486</v>
      </c>
      <c r="I54" s="1"/>
      <c r="J54" s="5">
        <f t="shared" si="29"/>
        <v>5.4788961038961036E-4</v>
      </c>
      <c r="K54" s="1"/>
      <c r="L54" s="1">
        <f t="shared" si="30"/>
        <v>274.03999999999996</v>
      </c>
      <c r="M54" s="1"/>
      <c r="N54" s="5">
        <f t="shared" si="31"/>
        <v>0.56386831275720162</v>
      </c>
      <c r="O54" s="14"/>
      <c r="P54" s="1">
        <f>SUM(OSRRefP22_5x_0)</f>
        <v>4560.24</v>
      </c>
      <c r="Q54" s="1"/>
      <c r="R54" s="5">
        <f t="shared" si="32"/>
        <v>7.8720518755831124E-4</v>
      </c>
      <c r="S54" s="1"/>
      <c r="T54" s="1">
        <f>SUM(OSRRefT22_5x_0)</f>
        <v>2916</v>
      </c>
      <c r="U54" s="1"/>
      <c r="V54" s="5">
        <f t="shared" si="33"/>
        <v>6.4572704081632658E-4</v>
      </c>
      <c r="W54" s="1"/>
      <c r="X54" s="1">
        <f t="shared" si="34"/>
        <v>1644.2399999999998</v>
      </c>
      <c r="Y54" s="1"/>
      <c r="Z54" s="5">
        <f t="shared" si="35"/>
        <v>0.56386831275720162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760.04</v>
      </c>
      <c r="E55" s="2"/>
      <c r="F55" s="7">
        <f t="shared" si="28"/>
        <v>7.8774388096174641E-4</v>
      </c>
      <c r="G55" s="2"/>
      <c r="H55" s="6">
        <v>486</v>
      </c>
      <c r="I55" s="2"/>
      <c r="J55" s="7">
        <f t="shared" si="29"/>
        <v>5.4788961038961036E-4</v>
      </c>
      <c r="K55" s="2"/>
      <c r="L55" s="6">
        <f t="shared" si="30"/>
        <v>274.03999999999996</v>
      </c>
      <c r="M55" s="2"/>
      <c r="N55" s="7">
        <f t="shared" si="31"/>
        <v>0.56386831275720162</v>
      </c>
      <c r="O55" s="11"/>
      <c r="P55" s="6">
        <v>4560.24</v>
      </c>
      <c r="Q55" s="2"/>
      <c r="R55" s="7">
        <f t="shared" si="32"/>
        <v>7.8720518755831124E-4</v>
      </c>
      <c r="S55" s="2"/>
      <c r="T55" s="6">
        <v>2916</v>
      </c>
      <c r="U55" s="2"/>
      <c r="V55" s="7">
        <f t="shared" si="33"/>
        <v>6.4572704081632658E-4</v>
      </c>
      <c r="W55" s="2"/>
      <c r="X55" s="6">
        <f t="shared" si="34"/>
        <v>1644.2399999999998</v>
      </c>
      <c r="Y55" s="2"/>
      <c r="Z55" s="7">
        <f t="shared" si="35"/>
        <v>0.56386831275720162</v>
      </c>
    </row>
    <row r="56" spans="1:26" s="28" customFormat="1" outlineLevel="1" collapsed="1" x14ac:dyDescent="0.3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3782.41</v>
      </c>
      <c r="E56" s="1"/>
      <c r="F56" s="5">
        <f t="shared" si="28"/>
        <v>3.920280949408609E-3</v>
      </c>
      <c r="G56" s="1"/>
      <c r="H56" s="1">
        <f>SUM(OSRRefH22_6x_0)</f>
        <v>15500</v>
      </c>
      <c r="I56" s="1"/>
      <c r="J56" s="5">
        <f t="shared" si="29"/>
        <v>1.74738455988456E-2</v>
      </c>
      <c r="K56" s="1"/>
      <c r="L56" s="1">
        <f t="shared" si="30"/>
        <v>-11717.59</v>
      </c>
      <c r="M56" s="1"/>
      <c r="N56" s="5">
        <f t="shared" si="31"/>
        <v>-0.75597354838709674</v>
      </c>
      <c r="O56" s="14"/>
      <c r="P56" s="1">
        <f>SUM(OSRRefP22_6x_0)</f>
        <v>36595</v>
      </c>
      <c r="Q56" s="1"/>
      <c r="R56" s="5">
        <f t="shared" si="32"/>
        <v>6.3171617806730349E-3</v>
      </c>
      <c r="S56" s="1"/>
      <c r="T56" s="1">
        <f>SUM(OSRRefT22_6x_0)</f>
        <v>77500</v>
      </c>
      <c r="U56" s="1"/>
      <c r="V56" s="5">
        <f t="shared" si="33"/>
        <v>1.7161812641723357E-2</v>
      </c>
      <c r="W56" s="1"/>
      <c r="X56" s="1">
        <f t="shared" si="34"/>
        <v>-40905</v>
      </c>
      <c r="Y56" s="1"/>
      <c r="Z56" s="5">
        <f t="shared" si="35"/>
        <v>-0.52780645161290318</v>
      </c>
    </row>
    <row r="57" spans="1:26" s="24" customFormat="1" hidden="1" outlineLevel="2" x14ac:dyDescent="0.3">
      <c r="A57" s="29"/>
      <c r="B57" s="11" t="str">
        <f>CONCATENATE("          ", "6399", " - ", "DONATION-ON CAMPUS")</f>
        <v xml:space="preserve">          6399 - DONATION-ON CAMPUS</v>
      </c>
      <c r="C57" s="11"/>
      <c r="D57" s="6">
        <v>3782.41</v>
      </c>
      <c r="E57" s="2"/>
      <c r="F57" s="7">
        <f t="shared" si="28"/>
        <v>3.920280949408609E-3</v>
      </c>
      <c r="G57" s="2"/>
      <c r="H57" s="6">
        <v>15500</v>
      </c>
      <c r="I57" s="2"/>
      <c r="J57" s="7">
        <f t="shared" si="29"/>
        <v>1.74738455988456E-2</v>
      </c>
      <c r="K57" s="2"/>
      <c r="L57" s="6">
        <f t="shared" si="30"/>
        <v>-11717.59</v>
      </c>
      <c r="M57" s="2"/>
      <c r="N57" s="7">
        <f t="shared" si="31"/>
        <v>-0.75597354838709674</v>
      </c>
      <c r="O57" s="11"/>
      <c r="P57" s="6">
        <v>36595</v>
      </c>
      <c r="Q57" s="2"/>
      <c r="R57" s="7">
        <f t="shared" si="32"/>
        <v>6.3171617806730349E-3</v>
      </c>
      <c r="S57" s="2"/>
      <c r="T57" s="6">
        <v>77500</v>
      </c>
      <c r="U57" s="2"/>
      <c r="V57" s="7">
        <f t="shared" si="33"/>
        <v>1.7161812641723357E-2</v>
      </c>
      <c r="W57" s="2"/>
      <c r="X57" s="6">
        <f t="shared" si="34"/>
        <v>-40905</v>
      </c>
      <c r="Y57" s="2"/>
      <c r="Z57" s="7">
        <f t="shared" si="35"/>
        <v>-0.52780645161290318</v>
      </c>
    </row>
    <row r="58" spans="1:26" s="28" customFormat="1" outlineLevel="1" collapsed="1" x14ac:dyDescent="0.3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113.4</v>
      </c>
      <c r="E58" s="1"/>
      <c r="F58" s="5">
        <f t="shared" si="28"/>
        <v>1.1753349310702338E-4</v>
      </c>
      <c r="G58" s="1"/>
      <c r="H58" s="1">
        <f>SUM(OSRRefH22_7x_0)</f>
        <v>500</v>
      </c>
      <c r="I58" s="1"/>
      <c r="J58" s="5">
        <f t="shared" si="29"/>
        <v>5.6367243867243863E-4</v>
      </c>
      <c r="K58" s="1"/>
      <c r="L58" s="1">
        <f t="shared" si="30"/>
        <v>-386.6</v>
      </c>
      <c r="M58" s="1"/>
      <c r="N58" s="5">
        <f t="shared" si="31"/>
        <v>-0.7732</v>
      </c>
      <c r="O58" s="14"/>
      <c r="P58" s="1">
        <f>SUM(OSRRefP22_7x_0)</f>
        <v>162.36000000000001</v>
      </c>
      <c r="Q58" s="1"/>
      <c r="R58" s="5">
        <f t="shared" si="32"/>
        <v>2.8027172747918405E-5</v>
      </c>
      <c r="S58" s="1"/>
      <c r="T58" s="1">
        <f>SUM(OSRRefT22_7x_0)</f>
        <v>1700</v>
      </c>
      <c r="U58" s="1"/>
      <c r="V58" s="5">
        <f t="shared" si="33"/>
        <v>3.7645266439909297E-4</v>
      </c>
      <c r="W58" s="1"/>
      <c r="X58" s="1">
        <f t="shared" si="34"/>
        <v>-1537.6399999999999</v>
      </c>
      <c r="Y58" s="1"/>
      <c r="Z58" s="5">
        <f t="shared" si="35"/>
        <v>-0.90449411764705878</v>
      </c>
    </row>
    <row r="59" spans="1:26" s="24" customFormat="1" hidden="1" outlineLevel="2" x14ac:dyDescent="0.3">
      <c r="A59" s="29"/>
      <c r="B59" s="11" t="str">
        <f>CONCATENATE("          ", "6277", " - ", "EMPLOYEE APPRECIATION")</f>
        <v xml:space="preserve">          6277 - EMPLOYEE APPRECIATION</v>
      </c>
      <c r="C59" s="11"/>
      <c r="D59" s="6">
        <v>113.4</v>
      </c>
      <c r="E59" s="2"/>
      <c r="F59" s="7">
        <f t="shared" si="28"/>
        <v>1.1753349310702338E-4</v>
      </c>
      <c r="G59" s="2"/>
      <c r="H59" s="6">
        <v>500</v>
      </c>
      <c r="I59" s="2"/>
      <c r="J59" s="7">
        <f t="shared" si="29"/>
        <v>5.6367243867243863E-4</v>
      </c>
      <c r="K59" s="2"/>
      <c r="L59" s="6">
        <f t="shared" si="30"/>
        <v>-386.6</v>
      </c>
      <c r="M59" s="2"/>
      <c r="N59" s="7">
        <f t="shared" si="31"/>
        <v>-0.7732</v>
      </c>
      <c r="O59" s="11"/>
      <c r="P59" s="6">
        <v>162.36000000000001</v>
      </c>
      <c r="Q59" s="2"/>
      <c r="R59" s="7">
        <f t="shared" si="32"/>
        <v>2.8027172747918405E-5</v>
      </c>
      <c r="S59" s="2"/>
      <c r="T59" s="6">
        <v>1700</v>
      </c>
      <c r="U59" s="2"/>
      <c r="V59" s="7">
        <f t="shared" si="33"/>
        <v>3.7645266439909297E-4</v>
      </c>
      <c r="W59" s="2"/>
      <c r="X59" s="6">
        <f t="shared" si="34"/>
        <v>-1537.6399999999999</v>
      </c>
      <c r="Y59" s="2"/>
      <c r="Z59" s="7">
        <f t="shared" si="35"/>
        <v>-0.90449411764705878</v>
      </c>
    </row>
    <row r="60" spans="1:26" s="28" customFormat="1" outlineLevel="1" collapsed="1" x14ac:dyDescent="0.3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862.99</v>
      </c>
      <c r="E60" s="1"/>
      <c r="F60" s="5">
        <f t="shared" si="28"/>
        <v>8.9444646575335192E-4</v>
      </c>
      <c r="G60" s="1"/>
      <c r="H60" s="1">
        <f>SUM(OSRRefH22_8x_0)</f>
        <v>795</v>
      </c>
      <c r="I60" s="1"/>
      <c r="J60" s="5">
        <f t="shared" si="29"/>
        <v>8.962391774891775E-4</v>
      </c>
      <c r="K60" s="1"/>
      <c r="L60" s="1">
        <f t="shared" si="30"/>
        <v>67.990000000000009</v>
      </c>
      <c r="M60" s="1"/>
      <c r="N60" s="5">
        <f t="shared" si="31"/>
        <v>8.5522012578616358E-2</v>
      </c>
      <c r="O60" s="14"/>
      <c r="P60" s="1">
        <f>SUM(OSRRefP22_8x_0)</f>
        <v>8264.7099999999991</v>
      </c>
      <c r="Q60" s="1"/>
      <c r="R60" s="5">
        <f t="shared" si="32"/>
        <v>1.4266842503168804E-3</v>
      </c>
      <c r="S60" s="1"/>
      <c r="T60" s="1">
        <f>SUM(OSRRefT22_8x_0)</f>
        <v>4770</v>
      </c>
      <c r="U60" s="1"/>
      <c r="V60" s="5">
        <f t="shared" si="33"/>
        <v>1.0562818877551021E-3</v>
      </c>
      <c r="W60" s="1"/>
      <c r="X60" s="1">
        <f t="shared" si="34"/>
        <v>3494.7099999999991</v>
      </c>
      <c r="Y60" s="1"/>
      <c r="Z60" s="5">
        <f t="shared" si="35"/>
        <v>0.73264360587002075</v>
      </c>
    </row>
    <row r="61" spans="1:26" s="24" customFormat="1" hidden="1" outlineLevel="2" x14ac:dyDescent="0.3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862.99</v>
      </c>
      <c r="E61" s="2"/>
      <c r="F61" s="7">
        <f t="shared" si="28"/>
        <v>8.9444646575335192E-4</v>
      </c>
      <c r="G61" s="2"/>
      <c r="H61" s="6">
        <v>795</v>
      </c>
      <c r="I61" s="2"/>
      <c r="J61" s="7">
        <f t="shared" si="29"/>
        <v>8.962391774891775E-4</v>
      </c>
      <c r="K61" s="2"/>
      <c r="L61" s="6">
        <f t="shared" si="30"/>
        <v>67.990000000000009</v>
      </c>
      <c r="M61" s="2"/>
      <c r="N61" s="7">
        <f t="shared" si="31"/>
        <v>8.5522012578616358E-2</v>
      </c>
      <c r="O61" s="11"/>
      <c r="P61" s="6">
        <v>8264.7099999999991</v>
      </c>
      <c r="Q61" s="2"/>
      <c r="R61" s="7">
        <f t="shared" si="32"/>
        <v>1.4266842503168804E-3</v>
      </c>
      <c r="S61" s="2"/>
      <c r="T61" s="6">
        <v>4770</v>
      </c>
      <c r="U61" s="2"/>
      <c r="V61" s="7">
        <f t="shared" si="33"/>
        <v>1.0562818877551021E-3</v>
      </c>
      <c r="W61" s="2"/>
      <c r="X61" s="6">
        <f t="shared" si="34"/>
        <v>3494.7099999999991</v>
      </c>
      <c r="Y61" s="2"/>
      <c r="Z61" s="7">
        <f t="shared" si="35"/>
        <v>0.73264360587002075</v>
      </c>
    </row>
    <row r="62" spans="1:26" s="28" customFormat="1" outlineLevel="1" collapsed="1" x14ac:dyDescent="0.3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530</v>
      </c>
      <c r="I62" s="1"/>
      <c r="J62" s="5">
        <f t="shared" si="29"/>
        <v>5.97492784992785E-4</v>
      </c>
      <c r="K62" s="1"/>
      <c r="L62" s="1">
        <f t="shared" si="30"/>
        <v>-530</v>
      </c>
      <c r="M62" s="1"/>
      <c r="N62" s="5">
        <f t="shared" si="31"/>
        <v>-1</v>
      </c>
      <c r="O62" s="14"/>
      <c r="P62" s="1">
        <f>SUM(OSRRefP22_9x_0)</f>
        <v>11172.71</v>
      </c>
      <c r="Q62" s="1"/>
      <c r="R62" s="5">
        <f t="shared" si="32"/>
        <v>1.9286737696008586E-3</v>
      </c>
      <c r="S62" s="1"/>
      <c r="T62" s="1">
        <f>SUM(OSRRefT22_9x_0)</f>
        <v>8130</v>
      </c>
      <c r="U62" s="1"/>
      <c r="V62" s="5">
        <f t="shared" si="33"/>
        <v>1.8003295068027211E-3</v>
      </c>
      <c r="W62" s="1"/>
      <c r="X62" s="1">
        <f t="shared" si="34"/>
        <v>3042.7099999999991</v>
      </c>
      <c r="Y62" s="1"/>
      <c r="Z62" s="5">
        <f t="shared" si="35"/>
        <v>0.3742570725707256</v>
      </c>
    </row>
    <row r="63" spans="1:26" s="24" customFormat="1" hidden="1" outlineLevel="2" x14ac:dyDescent="0.3">
      <c r="A63" s="29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530</v>
      </c>
      <c r="I63" s="2"/>
      <c r="J63" s="7">
        <f t="shared" si="29"/>
        <v>5.97492784992785E-4</v>
      </c>
      <c r="K63" s="2"/>
      <c r="L63" s="6">
        <f t="shared" si="30"/>
        <v>-530</v>
      </c>
      <c r="M63" s="2"/>
      <c r="N63" s="7">
        <f t="shared" si="31"/>
        <v>-1</v>
      </c>
      <c r="O63" s="11"/>
      <c r="P63" s="6">
        <v>11172.71</v>
      </c>
      <c r="Q63" s="2"/>
      <c r="R63" s="7">
        <f t="shared" si="32"/>
        <v>1.9286737696008586E-3</v>
      </c>
      <c r="S63" s="2"/>
      <c r="T63" s="6">
        <v>8130</v>
      </c>
      <c r="U63" s="2"/>
      <c r="V63" s="7">
        <f t="shared" si="33"/>
        <v>1.8003295068027211E-3</v>
      </c>
      <c r="W63" s="2"/>
      <c r="X63" s="6">
        <f t="shared" si="34"/>
        <v>3042.7099999999991</v>
      </c>
      <c r="Y63" s="2"/>
      <c r="Z63" s="7">
        <f t="shared" si="35"/>
        <v>0.3742570725707256</v>
      </c>
    </row>
    <row r="64" spans="1:26" s="28" customFormat="1" outlineLevel="1" collapsed="1" x14ac:dyDescent="0.3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5.21</v>
      </c>
      <c r="E64" s="1"/>
      <c r="F64" s="5">
        <f t="shared" si="28"/>
        <v>5.3999073993614798E-6</v>
      </c>
      <c r="G64" s="1"/>
      <c r="H64" s="1">
        <f>SUM(OSRRefH22_10x_0)</f>
        <v>10</v>
      </c>
      <c r="I64" s="1"/>
      <c r="J64" s="5">
        <f t="shared" si="29"/>
        <v>1.1273448773448773E-5</v>
      </c>
      <c r="K64" s="1"/>
      <c r="L64" s="1">
        <f t="shared" si="30"/>
        <v>-4.79</v>
      </c>
      <c r="M64" s="1"/>
      <c r="N64" s="5">
        <f t="shared" si="31"/>
        <v>-0.47899999999999998</v>
      </c>
      <c r="O64" s="14"/>
      <c r="P64" s="1">
        <f>SUM(OSRRefP22_10x_0)</f>
        <v>31.27</v>
      </c>
      <c r="Q64" s="1"/>
      <c r="R64" s="5">
        <f t="shared" si="32"/>
        <v>5.3979409449828063E-6</v>
      </c>
      <c r="S64" s="1"/>
      <c r="T64" s="1">
        <f>SUM(OSRRefT22_10x_0)</f>
        <v>60</v>
      </c>
      <c r="U64" s="1"/>
      <c r="V64" s="5">
        <f t="shared" si="33"/>
        <v>1.328656462585034E-5</v>
      </c>
      <c r="W64" s="1"/>
      <c r="X64" s="1">
        <f t="shared" si="34"/>
        <v>-28.73</v>
      </c>
      <c r="Y64" s="1"/>
      <c r="Z64" s="5">
        <f t="shared" si="35"/>
        <v>-0.47883333333333333</v>
      </c>
    </row>
    <row r="65" spans="1:26" s="24" customFormat="1" hidden="1" outlineLevel="2" x14ac:dyDescent="0.3">
      <c r="A65" s="29"/>
      <c r="B65" s="11" t="str">
        <f>CONCATENATE("          ", "6314", " - ", "LIABILITY INSURANCE")</f>
        <v xml:space="preserve">          6314 - LIABILITY INSURANCE</v>
      </c>
      <c r="C65" s="11"/>
      <c r="D65" s="6">
        <v>5.21</v>
      </c>
      <c r="E65" s="2"/>
      <c r="F65" s="7">
        <f t="shared" si="28"/>
        <v>5.3999073993614798E-6</v>
      </c>
      <c r="G65" s="2"/>
      <c r="H65" s="6">
        <v>10</v>
      </c>
      <c r="I65" s="2"/>
      <c r="J65" s="7">
        <f t="shared" si="29"/>
        <v>1.1273448773448773E-5</v>
      </c>
      <c r="K65" s="2"/>
      <c r="L65" s="6">
        <f t="shared" si="30"/>
        <v>-4.79</v>
      </c>
      <c r="M65" s="2"/>
      <c r="N65" s="7">
        <f t="shared" si="31"/>
        <v>-0.47899999999999998</v>
      </c>
      <c r="O65" s="11"/>
      <c r="P65" s="6">
        <v>31.27</v>
      </c>
      <c r="Q65" s="2"/>
      <c r="R65" s="7">
        <f t="shared" si="32"/>
        <v>5.3979409449828063E-6</v>
      </c>
      <c r="S65" s="2"/>
      <c r="T65" s="6">
        <v>60</v>
      </c>
      <c r="U65" s="2"/>
      <c r="V65" s="7">
        <f t="shared" si="33"/>
        <v>1.328656462585034E-5</v>
      </c>
      <c r="W65" s="2"/>
      <c r="X65" s="6">
        <f t="shared" si="34"/>
        <v>-28.73</v>
      </c>
      <c r="Y65" s="2"/>
      <c r="Z65" s="7">
        <f t="shared" si="35"/>
        <v>-0.47883333333333333</v>
      </c>
    </row>
    <row r="66" spans="1:26" s="28" customFormat="1" outlineLevel="1" collapsed="1" x14ac:dyDescent="0.3">
      <c r="A66" s="27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76752.539999999994</v>
      </c>
      <c r="E66" s="1"/>
      <c r="F66" s="5">
        <f t="shared" si="28"/>
        <v>7.9550212795736638E-2</v>
      </c>
      <c r="G66" s="1"/>
      <c r="H66" s="1">
        <f>SUM(OSRRefH22_11x_0)</f>
        <v>70963</v>
      </c>
      <c r="I66" s="1"/>
      <c r="J66" s="5">
        <f t="shared" si="29"/>
        <v>7.9999774531024526E-2</v>
      </c>
      <c r="K66" s="1"/>
      <c r="L66" s="1">
        <f t="shared" si="30"/>
        <v>5789.5399999999936</v>
      </c>
      <c r="M66" s="1"/>
      <c r="N66" s="5">
        <f t="shared" si="31"/>
        <v>8.1585333201809301E-2</v>
      </c>
      <c r="O66" s="14"/>
      <c r="P66" s="1">
        <f>SUM(OSRRefP22_11x_0)</f>
        <v>449668.74</v>
      </c>
      <c r="Q66" s="1"/>
      <c r="R66" s="5">
        <f t="shared" si="32"/>
        <v>7.7623450697947807E-2</v>
      </c>
      <c r="S66" s="1"/>
      <c r="T66" s="1">
        <f>SUM(OSRRefT22_11x_0)</f>
        <v>359107</v>
      </c>
      <c r="U66" s="1"/>
      <c r="V66" s="5">
        <f t="shared" si="33"/>
        <v>7.9521639384920628E-2</v>
      </c>
      <c r="W66" s="1"/>
      <c r="X66" s="1">
        <f t="shared" si="34"/>
        <v>90561.739999999991</v>
      </c>
      <c r="Y66" s="1"/>
      <c r="Z66" s="5">
        <f t="shared" si="35"/>
        <v>0.25218595014856293</v>
      </c>
    </row>
    <row r="67" spans="1:26" s="24" customFormat="1" hidden="1" outlineLevel="2" x14ac:dyDescent="0.3">
      <c r="A67" s="29"/>
      <c r="B67" s="11" t="str">
        <f>CONCATENATE("          ", "6387", " - ", "COMMISSION DUE HOUSING")</f>
        <v xml:space="preserve">          6387 - COMMISSION DUE HOUSING</v>
      </c>
      <c r="C67" s="11"/>
      <c r="D67" s="6">
        <v>76752.539999999994</v>
      </c>
      <c r="E67" s="2"/>
      <c r="F67" s="7">
        <f t="shared" si="28"/>
        <v>7.9550212795736638E-2</v>
      </c>
      <c r="G67" s="2"/>
      <c r="H67" s="6">
        <v>70963</v>
      </c>
      <c r="I67" s="2"/>
      <c r="J67" s="7">
        <f t="shared" si="29"/>
        <v>7.9999774531024526E-2</v>
      </c>
      <c r="K67" s="2"/>
      <c r="L67" s="6">
        <f t="shared" si="30"/>
        <v>5789.5399999999936</v>
      </c>
      <c r="M67" s="2"/>
      <c r="N67" s="7">
        <f t="shared" si="31"/>
        <v>8.1585333201809301E-2</v>
      </c>
      <c r="O67" s="11"/>
      <c r="P67" s="6">
        <v>449668.74</v>
      </c>
      <c r="Q67" s="2"/>
      <c r="R67" s="7">
        <f t="shared" si="32"/>
        <v>7.7623450697947807E-2</v>
      </c>
      <c r="S67" s="2"/>
      <c r="T67" s="6">
        <v>359107</v>
      </c>
      <c r="U67" s="2"/>
      <c r="V67" s="7">
        <f t="shared" si="33"/>
        <v>7.9521639384920628E-2</v>
      </c>
      <c r="W67" s="2"/>
      <c r="X67" s="6">
        <f t="shared" si="34"/>
        <v>90561.739999999991</v>
      </c>
      <c r="Y67" s="2"/>
      <c r="Z67" s="7">
        <f t="shared" si="35"/>
        <v>0.25218595014856293</v>
      </c>
    </row>
    <row r="68" spans="1:26" s="28" customFormat="1" outlineLevel="1" collapsed="1" x14ac:dyDescent="0.3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4201.8500000000004</v>
      </c>
      <c r="E68" s="1"/>
      <c r="F68" s="5">
        <f t="shared" si="28"/>
        <v>4.3550097708266863E-3</v>
      </c>
      <c r="G68" s="1"/>
      <c r="H68" s="1">
        <f>SUM(OSRRefH22_12x_0)</f>
        <v>4050</v>
      </c>
      <c r="I68" s="1"/>
      <c r="J68" s="5">
        <f t="shared" si="29"/>
        <v>4.565746753246753E-3</v>
      </c>
      <c r="K68" s="1"/>
      <c r="L68" s="1">
        <f t="shared" si="30"/>
        <v>151.85000000000036</v>
      </c>
      <c r="M68" s="1"/>
      <c r="N68" s="5">
        <f t="shared" si="31"/>
        <v>3.7493827160493917E-2</v>
      </c>
      <c r="O68" s="14"/>
      <c r="P68" s="1">
        <f>SUM(OSRRefP22_12x_0)</f>
        <v>26494.77</v>
      </c>
      <c r="Q68" s="1"/>
      <c r="R68" s="5">
        <f t="shared" si="32"/>
        <v>4.5736234029709662E-3</v>
      </c>
      <c r="S68" s="1"/>
      <c r="T68" s="1">
        <f>SUM(OSRRefT22_12x_0)</f>
        <v>31400</v>
      </c>
      <c r="U68" s="1"/>
      <c r="V68" s="5">
        <f t="shared" si="33"/>
        <v>6.9533021541950115E-3</v>
      </c>
      <c r="W68" s="1"/>
      <c r="X68" s="1">
        <f t="shared" si="34"/>
        <v>-4905.2299999999996</v>
      </c>
      <c r="Y68" s="1"/>
      <c r="Z68" s="5">
        <f t="shared" si="35"/>
        <v>-0.15621751592356686</v>
      </c>
    </row>
    <row r="69" spans="1:26" s="24" customFormat="1" hidden="1" outlineLevel="2" x14ac:dyDescent="0.3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6">
        <v>3500</v>
      </c>
      <c r="E69" s="2"/>
      <c r="F69" s="7">
        <f t="shared" si="28"/>
        <v>3.6275769477476351E-3</v>
      </c>
      <c r="G69" s="2"/>
      <c r="H69" s="6">
        <v>3500</v>
      </c>
      <c r="I69" s="2"/>
      <c r="J69" s="7">
        <f t="shared" si="29"/>
        <v>3.945707070707071E-3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>
        <v>21000</v>
      </c>
      <c r="Q69" s="2"/>
      <c r="R69" s="7">
        <f t="shared" si="32"/>
        <v>3.6250962534262535E-3</v>
      </c>
      <c r="S69" s="2"/>
      <c r="T69" s="6">
        <v>21000</v>
      </c>
      <c r="U69" s="2"/>
      <c r="V69" s="7">
        <f t="shared" si="33"/>
        <v>4.650297619047619E-3</v>
      </c>
      <c r="W69" s="2"/>
      <c r="X69" s="6">
        <f t="shared" si="34"/>
        <v>0</v>
      </c>
      <c r="Y69" s="2"/>
      <c r="Z69" s="7">
        <f t="shared" si="35"/>
        <v>0</v>
      </c>
    </row>
    <row r="70" spans="1:26" s="24" customFormat="1" hidden="1" outlineLevel="2" x14ac:dyDescent="0.3">
      <c r="A70" s="29"/>
      <c r="B70" s="11" t="str">
        <f>CONCATENATE("          ", "6373", " - ", "MAINTENANCE CONTRACTS")</f>
        <v xml:space="preserve">          6373 - MAINTENANCE CONTRACTS</v>
      </c>
      <c r="C70" s="11"/>
      <c r="D70" s="6">
        <v>267.97000000000003</v>
      </c>
      <c r="E70" s="2"/>
      <c r="F70" s="7">
        <f t="shared" si="28"/>
        <v>2.7773765562512398E-4</v>
      </c>
      <c r="G70" s="2"/>
      <c r="H70" s="6"/>
      <c r="I70" s="2"/>
      <c r="J70" s="7">
        <f t="shared" si="29"/>
        <v>0</v>
      </c>
      <c r="K70" s="2"/>
      <c r="L70" s="6">
        <f t="shared" si="30"/>
        <v>267.97000000000003</v>
      </c>
      <c r="M70" s="2"/>
      <c r="N70" s="7">
        <f t="shared" si="31"/>
        <v>0</v>
      </c>
      <c r="O70" s="11"/>
      <c r="P70" s="6">
        <v>605.39</v>
      </c>
      <c r="Q70" s="2"/>
      <c r="R70" s="7">
        <f t="shared" si="32"/>
        <v>1.0450462004103426E-4</v>
      </c>
      <c r="S70" s="2"/>
      <c r="T70" s="6">
        <v>7100</v>
      </c>
      <c r="U70" s="2"/>
      <c r="V70" s="7">
        <f t="shared" si="33"/>
        <v>1.5722434807256237E-3</v>
      </c>
      <c r="W70" s="2"/>
      <c r="X70" s="6">
        <f t="shared" si="34"/>
        <v>-6494.61</v>
      </c>
      <c r="Y70" s="2"/>
      <c r="Z70" s="7">
        <f t="shared" si="35"/>
        <v>-0.91473380281690131</v>
      </c>
    </row>
    <row r="71" spans="1:26" s="24" customFormat="1" hidden="1" outlineLevel="2" x14ac:dyDescent="0.3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433.88</v>
      </c>
      <c r="E71" s="2"/>
      <c r="F71" s="7">
        <f t="shared" si="28"/>
        <v>4.4969516745392682E-4</v>
      </c>
      <c r="G71" s="2"/>
      <c r="H71" s="6">
        <v>550</v>
      </c>
      <c r="I71" s="2"/>
      <c r="J71" s="7">
        <f t="shared" si="29"/>
        <v>6.2003968253968251E-4</v>
      </c>
      <c r="K71" s="2"/>
      <c r="L71" s="6">
        <f t="shared" si="30"/>
        <v>-116.12</v>
      </c>
      <c r="M71" s="2"/>
      <c r="N71" s="7">
        <f t="shared" si="31"/>
        <v>-0.21112727272727275</v>
      </c>
      <c r="O71" s="11"/>
      <c r="P71" s="6">
        <v>4889.38</v>
      </c>
      <c r="Q71" s="2"/>
      <c r="R71" s="7">
        <f t="shared" si="32"/>
        <v>8.440225295036788E-4</v>
      </c>
      <c r="S71" s="2"/>
      <c r="T71" s="6">
        <v>3300</v>
      </c>
      <c r="U71" s="2"/>
      <c r="V71" s="7">
        <f t="shared" si="33"/>
        <v>7.3076105442176876E-4</v>
      </c>
      <c r="W71" s="2"/>
      <c r="X71" s="6">
        <f t="shared" si="34"/>
        <v>1589.38</v>
      </c>
      <c r="Y71" s="2"/>
      <c r="Z71" s="7">
        <f t="shared" si="35"/>
        <v>0.48163030303030308</v>
      </c>
    </row>
    <row r="72" spans="1:26" s="28" customFormat="1" outlineLevel="1" collapsed="1" x14ac:dyDescent="0.3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15346.34</v>
      </c>
      <c r="E72" s="1"/>
      <c r="F72" s="5">
        <f t="shared" ref="F72:F76" si="36">IF(D$12=0,0,D72/D$12)</f>
        <v>1.5905722633227839E-2</v>
      </c>
      <c r="G72" s="1"/>
      <c r="H72" s="1">
        <f>SUM(OSRRefH22_13x_0)</f>
        <v>21272</v>
      </c>
      <c r="I72" s="1"/>
      <c r="J72" s="5">
        <f t="shared" ref="J72:J76" si="37">IF(H$12=0,0,H72/H$12)</f>
        <v>2.3980880230880231E-2</v>
      </c>
      <c r="K72" s="1"/>
      <c r="L72" s="1">
        <f t="shared" ref="L72:L76" si="38">+D72-H72</f>
        <v>-5925.66</v>
      </c>
      <c r="M72" s="1"/>
      <c r="N72" s="5">
        <f t="shared" ref="N72:N76" si="39">IF(H72=0,0,L72/H72)</f>
        <v>-0.27856619029710417</v>
      </c>
      <c r="O72" s="14"/>
      <c r="P72" s="1">
        <f>SUM(OSRRefP22_13x_0)</f>
        <v>97267.42</v>
      </c>
      <c r="Q72" s="1"/>
      <c r="R72" s="5">
        <f t="shared" ref="R72:R76" si="40">IF(P$12=0,0,P72/P$12)</f>
        <v>1.6790655229639895E-2</v>
      </c>
      <c r="S72" s="1"/>
      <c r="T72" s="1">
        <f>SUM(OSRRefT22_13x_0)</f>
        <v>126032</v>
      </c>
      <c r="U72" s="1"/>
      <c r="V72" s="5">
        <f t="shared" ref="V72:V76" si="41">IF(T$12=0,0,T72/T$12)</f>
        <v>2.7908871882086166E-2</v>
      </c>
      <c r="W72" s="1"/>
      <c r="X72" s="1">
        <f t="shared" ref="X72:X76" si="42">+P72-T72</f>
        <v>-28764.58</v>
      </c>
      <c r="Y72" s="1"/>
      <c r="Z72" s="5">
        <f t="shared" ref="Z72:Z76" si="43">IF(T72=0,0,X72/T72)</f>
        <v>-0.22823235368795228</v>
      </c>
    </row>
    <row r="73" spans="1:26" s="24" customFormat="1" hidden="1" outlineLevel="2" x14ac:dyDescent="0.3">
      <c r="A73" s="29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459.25</v>
      </c>
      <c r="E73" s="2"/>
      <c r="F73" s="7">
        <f t="shared" si="36"/>
        <v>4.7598991807231469E-4</v>
      </c>
      <c r="G73" s="2"/>
      <c r="H73" s="6">
        <v>1570</v>
      </c>
      <c r="I73" s="2"/>
      <c r="J73" s="7">
        <f t="shared" si="37"/>
        <v>1.7699314574314575E-3</v>
      </c>
      <c r="K73" s="2"/>
      <c r="L73" s="6">
        <f t="shared" si="38"/>
        <v>-1110.75</v>
      </c>
      <c r="M73" s="2"/>
      <c r="N73" s="7">
        <f t="shared" si="39"/>
        <v>-0.70748407643312106</v>
      </c>
      <c r="O73" s="11"/>
      <c r="P73" s="6">
        <v>9851.82</v>
      </c>
      <c r="Q73" s="2"/>
      <c r="R73" s="7">
        <f t="shared" si="40"/>
        <v>1.7006569414966587E-3</v>
      </c>
      <c r="S73" s="2"/>
      <c r="T73" s="6">
        <v>9420</v>
      </c>
      <c r="U73" s="2"/>
      <c r="V73" s="7">
        <f t="shared" si="41"/>
        <v>2.0859906462585035E-3</v>
      </c>
      <c r="W73" s="2"/>
      <c r="X73" s="6">
        <f t="shared" si="42"/>
        <v>431.81999999999971</v>
      </c>
      <c r="Y73" s="2"/>
      <c r="Z73" s="7">
        <f t="shared" si="43"/>
        <v>4.5840764331210163E-2</v>
      </c>
    </row>
    <row r="74" spans="1:26" s="24" customFormat="1" hidden="1" outlineLevel="2" x14ac:dyDescent="0.3">
      <c r="A74" s="29"/>
      <c r="B74" s="11" t="str">
        <f>CONCATENATE("          ", "6284", " - ", "TRASH REMOVAL EXPENSE")</f>
        <v xml:space="preserve">          6284 - TRASH REMOVAL EXPENSE</v>
      </c>
      <c r="C74" s="11"/>
      <c r="D74" s="6"/>
      <c r="E74" s="2"/>
      <c r="F74" s="7">
        <f t="shared" si="36"/>
        <v>0</v>
      </c>
      <c r="G74" s="2"/>
      <c r="H74" s="6">
        <v>600</v>
      </c>
      <c r="I74" s="2"/>
      <c r="J74" s="7">
        <f t="shared" si="37"/>
        <v>6.7640692640692638E-4</v>
      </c>
      <c r="K74" s="2"/>
      <c r="L74" s="6">
        <f t="shared" si="38"/>
        <v>-600</v>
      </c>
      <c r="M74" s="2"/>
      <c r="N74" s="7">
        <f t="shared" si="39"/>
        <v>-1</v>
      </c>
      <c r="O74" s="11"/>
      <c r="P74" s="6"/>
      <c r="Q74" s="2"/>
      <c r="R74" s="7">
        <f t="shared" si="40"/>
        <v>0</v>
      </c>
      <c r="S74" s="2"/>
      <c r="T74" s="6">
        <v>3600</v>
      </c>
      <c r="U74" s="2"/>
      <c r="V74" s="7">
        <f t="shared" si="41"/>
        <v>7.9719387755102043E-4</v>
      </c>
      <c r="W74" s="2"/>
      <c r="X74" s="6">
        <f t="shared" si="42"/>
        <v>-3600</v>
      </c>
      <c r="Y74" s="2"/>
      <c r="Z74" s="7">
        <f t="shared" si="43"/>
        <v>-1</v>
      </c>
    </row>
    <row r="75" spans="1:26" s="24" customFormat="1" hidden="1" outlineLevel="2" x14ac:dyDescent="0.3">
      <c r="A75" s="29"/>
      <c r="B75" s="11" t="str">
        <f>CONCATENATE("          ", "6285", " - ", "JANITORIAL SERVICES")</f>
        <v xml:space="preserve">          6285 - JANITORIAL SERVICES</v>
      </c>
      <c r="C75" s="11"/>
      <c r="D75" s="6">
        <v>13631.9</v>
      </c>
      <c r="E75" s="2"/>
      <c r="F75" s="7">
        <f t="shared" si="36"/>
        <v>1.4128790341143138E-2</v>
      </c>
      <c r="G75" s="2"/>
      <c r="H75" s="6">
        <v>14335</v>
      </c>
      <c r="I75" s="2"/>
      <c r="J75" s="7">
        <f t="shared" si="37"/>
        <v>1.6160488816738816E-2</v>
      </c>
      <c r="K75" s="2"/>
      <c r="L75" s="6">
        <f t="shared" si="38"/>
        <v>-703.10000000000036</v>
      </c>
      <c r="M75" s="2"/>
      <c r="N75" s="7">
        <f t="shared" si="39"/>
        <v>-4.9047785141262672E-2</v>
      </c>
      <c r="O75" s="11"/>
      <c r="P75" s="6">
        <v>72748.179999999993</v>
      </c>
      <c r="Q75" s="2"/>
      <c r="R75" s="7">
        <f t="shared" si="40"/>
        <v>1.2558054988646603E-2</v>
      </c>
      <c r="S75" s="2"/>
      <c r="T75" s="6">
        <v>86010</v>
      </c>
      <c r="U75" s="2"/>
      <c r="V75" s="7">
        <f t="shared" si="41"/>
        <v>1.9046290391156462E-2</v>
      </c>
      <c r="W75" s="2"/>
      <c r="X75" s="6">
        <f t="shared" si="42"/>
        <v>-13261.820000000007</v>
      </c>
      <c r="Y75" s="2"/>
      <c r="Z75" s="7">
        <f t="shared" si="43"/>
        <v>-0.15418928031624238</v>
      </c>
    </row>
    <row r="76" spans="1:26" s="24" customFormat="1" hidden="1" outlineLevel="2" x14ac:dyDescent="0.3">
      <c r="A76" s="29"/>
      <c r="B76" s="11" t="str">
        <f>CONCATENATE("          ", "6286", " - ", "LAUNDRY EXPENSE")</f>
        <v xml:space="preserve">          6286 - LAUNDRY EXPENSE</v>
      </c>
      <c r="C76" s="11"/>
      <c r="D76" s="6">
        <v>1255.19</v>
      </c>
      <c r="E76" s="2"/>
      <c r="F76" s="7">
        <f t="shared" si="36"/>
        <v>1.3009423740123868E-3</v>
      </c>
      <c r="G76" s="2"/>
      <c r="H76" s="6">
        <v>4767</v>
      </c>
      <c r="I76" s="2"/>
      <c r="J76" s="7">
        <f t="shared" si="37"/>
        <v>5.3740530303030302E-3</v>
      </c>
      <c r="K76" s="2"/>
      <c r="L76" s="6">
        <f t="shared" si="38"/>
        <v>-3511.81</v>
      </c>
      <c r="M76" s="2"/>
      <c r="N76" s="7">
        <f t="shared" si="39"/>
        <v>-0.73669183973148733</v>
      </c>
      <c r="O76" s="11"/>
      <c r="P76" s="6">
        <v>14667.42</v>
      </c>
      <c r="Q76" s="2"/>
      <c r="R76" s="7">
        <f t="shared" si="40"/>
        <v>2.5319432994966333E-3</v>
      </c>
      <c r="S76" s="2"/>
      <c r="T76" s="6">
        <v>27002</v>
      </c>
      <c r="U76" s="2"/>
      <c r="V76" s="7">
        <f t="shared" si="41"/>
        <v>5.9793969671201814E-3</v>
      </c>
      <c r="W76" s="2"/>
      <c r="X76" s="6">
        <f t="shared" si="42"/>
        <v>-12334.58</v>
      </c>
      <c r="Y76" s="2"/>
      <c r="Z76" s="7">
        <f t="shared" si="43"/>
        <v>-0.45680245907710537</v>
      </c>
    </row>
    <row r="77" spans="1:26" s="28" customFormat="1" outlineLevel="1" collapsed="1" x14ac:dyDescent="0.3">
      <c r="A77" s="27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SUM(OSRRefD22_14x_0)</f>
        <v>0</v>
      </c>
      <c r="E77" s="1"/>
      <c r="F77" s="5">
        <f t="shared" ref="F77:F87" si="44">IF(D$12=0,0,D77/D$12)</f>
        <v>0</v>
      </c>
      <c r="G77" s="1"/>
      <c r="H77" s="1">
        <f>SUM(OSRRefH22_14x_0)</f>
        <v>0</v>
      </c>
      <c r="I77" s="1"/>
      <c r="J77" s="5">
        <f t="shared" ref="J77:J87" si="45">IF(H$12=0,0,H77/H$12)</f>
        <v>0</v>
      </c>
      <c r="K77" s="1"/>
      <c r="L77" s="1">
        <f t="shared" ref="L77:L87" si="46">+D77-H77</f>
        <v>0</v>
      </c>
      <c r="M77" s="1"/>
      <c r="N77" s="5">
        <f t="shared" ref="N77:N87" si="47">IF(H77=0,0,L77/H77)</f>
        <v>0</v>
      </c>
      <c r="O77" s="14"/>
      <c r="P77" s="1">
        <f>SUM(OSRRefP22_14x_0)</f>
        <v>0</v>
      </c>
      <c r="Q77" s="1"/>
      <c r="R77" s="5">
        <f t="shared" ref="R77:R87" si="48">IF(P$12=0,0,P77/P$12)</f>
        <v>0</v>
      </c>
      <c r="S77" s="1"/>
      <c r="T77" s="1">
        <f>SUM(OSRRefT22_14x_0)</f>
        <v>795</v>
      </c>
      <c r="U77" s="1"/>
      <c r="V77" s="5">
        <f t="shared" ref="V77:V87" si="49">IF(T$12=0,0,T77/T$12)</f>
        <v>1.7604698129251701E-4</v>
      </c>
      <c r="W77" s="1"/>
      <c r="X77" s="1">
        <f t="shared" ref="X77:X87" si="50">+P77-T77</f>
        <v>-795</v>
      </c>
      <c r="Y77" s="1"/>
      <c r="Z77" s="5">
        <f t="shared" ref="Z77:Z87" si="51">IF(T77=0,0,X77/T77)</f>
        <v>-1</v>
      </c>
    </row>
    <row r="78" spans="1:26" s="24" customFormat="1" hidden="1" outlineLevel="2" x14ac:dyDescent="0.3">
      <c r="A78" s="29"/>
      <c r="B78" s="11" t="str">
        <f>CONCATENATE("          ", "6258", " - ", "MEMBERSHIP DUES")</f>
        <v xml:space="preserve">          6258 - MEMBERSHIP DUES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/>
      <c r="Q78" s="2"/>
      <c r="R78" s="7">
        <f t="shared" si="48"/>
        <v>0</v>
      </c>
      <c r="S78" s="2"/>
      <c r="T78" s="6">
        <v>795</v>
      </c>
      <c r="U78" s="2"/>
      <c r="V78" s="7">
        <f t="shared" si="49"/>
        <v>1.7604698129251701E-4</v>
      </c>
      <c r="W78" s="2"/>
      <c r="X78" s="6">
        <f t="shared" si="50"/>
        <v>-795</v>
      </c>
      <c r="Y78" s="2"/>
      <c r="Z78" s="7">
        <f t="shared" si="51"/>
        <v>-1</v>
      </c>
    </row>
    <row r="79" spans="1:26" s="28" customFormat="1" outlineLevel="1" collapsed="1" x14ac:dyDescent="0.3">
      <c r="A79" s="27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SUM(OSRRefD22_15x_0)</f>
        <v>29394.16</v>
      </c>
      <c r="E79" s="1"/>
      <c r="F79" s="5">
        <f t="shared" si="44"/>
        <v>3.0465593489830179E-2</v>
      </c>
      <c r="G79" s="1"/>
      <c r="H79" s="1">
        <f>SUM(OSRRefH22_15x_0)</f>
        <v>29650</v>
      </c>
      <c r="I79" s="1"/>
      <c r="J79" s="5">
        <f t="shared" si="45"/>
        <v>3.3425775613275616E-2</v>
      </c>
      <c r="K79" s="1"/>
      <c r="L79" s="1">
        <f t="shared" si="46"/>
        <v>-255.84000000000015</v>
      </c>
      <c r="M79" s="1"/>
      <c r="N79" s="5">
        <f t="shared" si="47"/>
        <v>-8.628667790893765E-3</v>
      </c>
      <c r="O79" s="14"/>
      <c r="P79" s="1">
        <f>SUM(OSRRefP22_15x_0)</f>
        <v>209171.57</v>
      </c>
      <c r="Q79" s="1"/>
      <c r="R79" s="5">
        <f t="shared" si="48"/>
        <v>3.6107955939537494E-2</v>
      </c>
      <c r="S79" s="1"/>
      <c r="T79" s="1">
        <f>SUM(OSRRefT22_15x_0)</f>
        <v>184900</v>
      </c>
      <c r="U79" s="1"/>
      <c r="V79" s="5">
        <f t="shared" si="49"/>
        <v>4.0944763321995467E-2</v>
      </c>
      <c r="W79" s="1"/>
      <c r="X79" s="1">
        <f t="shared" si="50"/>
        <v>24271.570000000007</v>
      </c>
      <c r="Y79" s="1"/>
      <c r="Z79" s="5">
        <f t="shared" si="51"/>
        <v>0.13126863169280695</v>
      </c>
    </row>
    <row r="80" spans="1:26" s="24" customFormat="1" hidden="1" outlineLevel="2" x14ac:dyDescent="0.3">
      <c r="A80" s="29"/>
      <c r="B80" s="11" t="str">
        <f>CONCATENATE("          ", "6234", " - ", "EXPENDABLE SUPPLIES &amp; EQUIPMEN")</f>
        <v xml:space="preserve">          6234 - EXPENDABLE SUPPLIES &amp; EQUIPMEN</v>
      </c>
      <c r="C80" s="11"/>
      <c r="D80" s="6">
        <v>315</v>
      </c>
      <c r="E80" s="2"/>
      <c r="F80" s="7">
        <f t="shared" si="44"/>
        <v>3.2648192529728714E-4</v>
      </c>
      <c r="G80" s="2"/>
      <c r="H80" s="6">
        <v>342</v>
      </c>
      <c r="I80" s="2"/>
      <c r="J80" s="7">
        <f t="shared" si="45"/>
        <v>3.8555194805194807E-4</v>
      </c>
      <c r="K80" s="2"/>
      <c r="L80" s="6">
        <f t="shared" si="46"/>
        <v>-27</v>
      </c>
      <c r="M80" s="2"/>
      <c r="N80" s="7">
        <f t="shared" si="47"/>
        <v>-7.8947368421052627E-2</v>
      </c>
      <c r="O80" s="11"/>
      <c r="P80" s="6">
        <v>336.98</v>
      </c>
      <c r="Q80" s="2"/>
      <c r="R80" s="7">
        <f t="shared" si="48"/>
        <v>5.817071121331328E-5</v>
      </c>
      <c r="S80" s="2"/>
      <c r="T80" s="6">
        <v>2052</v>
      </c>
      <c r="U80" s="2"/>
      <c r="V80" s="7">
        <f t="shared" si="49"/>
        <v>4.5440051020408161E-4</v>
      </c>
      <c r="W80" s="2"/>
      <c r="X80" s="6">
        <f t="shared" si="50"/>
        <v>-1715.02</v>
      </c>
      <c r="Y80" s="2"/>
      <c r="Z80" s="7">
        <f t="shared" si="51"/>
        <v>-0.83577972709551651</v>
      </c>
    </row>
    <row r="81" spans="1:26" s="24" customFormat="1" hidden="1" outlineLevel="2" x14ac:dyDescent="0.3">
      <c r="A81" s="29"/>
      <c r="B81" s="11" t="str">
        <f>CONCATENATE("          ", "6237", " - ", "JANITORIAL SUPPLIES")</f>
        <v xml:space="preserve">          6237 - JANITORIAL SUPPLIES</v>
      </c>
      <c r="C81" s="11"/>
      <c r="D81" s="6">
        <v>4735.74</v>
      </c>
      <c r="E81" s="2"/>
      <c r="F81" s="7">
        <f t="shared" si="44"/>
        <v>4.9083603584361094E-3</v>
      </c>
      <c r="G81" s="2"/>
      <c r="H81" s="6">
        <v>9750</v>
      </c>
      <c r="I81" s="2"/>
      <c r="J81" s="7">
        <f t="shared" si="45"/>
        <v>1.0991612554112554E-2</v>
      </c>
      <c r="K81" s="2"/>
      <c r="L81" s="6">
        <f t="shared" si="46"/>
        <v>-5014.26</v>
      </c>
      <c r="M81" s="2"/>
      <c r="N81" s="7">
        <f t="shared" si="47"/>
        <v>-0.51428307692307695</v>
      </c>
      <c r="O81" s="11"/>
      <c r="P81" s="6">
        <v>31797.62</v>
      </c>
      <c r="Q81" s="2"/>
      <c r="R81" s="7">
        <f t="shared" si="48"/>
        <v>5.4890206252319858E-3</v>
      </c>
      <c r="S81" s="2"/>
      <c r="T81" s="6">
        <v>61500</v>
      </c>
      <c r="U81" s="2"/>
      <c r="V81" s="7">
        <f t="shared" si="49"/>
        <v>1.3618728741496599E-2</v>
      </c>
      <c r="W81" s="2"/>
      <c r="X81" s="6">
        <f t="shared" si="50"/>
        <v>-29702.38</v>
      </c>
      <c r="Y81" s="2"/>
      <c r="Z81" s="7">
        <f t="shared" si="51"/>
        <v>-0.48296552845528457</v>
      </c>
    </row>
    <row r="82" spans="1:26" s="24" customFormat="1" hidden="1" outlineLevel="2" x14ac:dyDescent="0.3">
      <c r="A82" s="29"/>
      <c r="B82" s="11" t="str">
        <f>CONCATENATE("          ", "6239", " - ", "KITCHEN SUPPLIES")</f>
        <v xml:space="preserve">          6239 - KITCHEN SUPPLIES</v>
      </c>
      <c r="C82" s="11"/>
      <c r="D82" s="6">
        <v>166.67</v>
      </c>
      <c r="E82" s="2"/>
      <c r="F82" s="7">
        <f t="shared" si="44"/>
        <v>1.7274521425174238E-4</v>
      </c>
      <c r="G82" s="2"/>
      <c r="H82" s="6">
        <v>3700</v>
      </c>
      <c r="I82" s="2"/>
      <c r="J82" s="7">
        <f t="shared" si="45"/>
        <v>4.171176046176046E-3</v>
      </c>
      <c r="K82" s="2"/>
      <c r="L82" s="6">
        <f t="shared" si="46"/>
        <v>-3533.33</v>
      </c>
      <c r="M82" s="2"/>
      <c r="N82" s="7">
        <f t="shared" si="47"/>
        <v>-0.95495405405405398</v>
      </c>
      <c r="O82" s="11"/>
      <c r="P82" s="6">
        <v>24159.93</v>
      </c>
      <c r="Q82" s="2"/>
      <c r="R82" s="7">
        <f t="shared" si="48"/>
        <v>4.1705748440971687E-3</v>
      </c>
      <c r="S82" s="2"/>
      <c r="T82" s="6">
        <v>28200</v>
      </c>
      <c r="U82" s="2"/>
      <c r="V82" s="7">
        <f t="shared" si="49"/>
        <v>6.2446853741496599E-3</v>
      </c>
      <c r="W82" s="2"/>
      <c r="X82" s="6">
        <f t="shared" si="50"/>
        <v>-4040.0699999999997</v>
      </c>
      <c r="Y82" s="2"/>
      <c r="Z82" s="7">
        <f t="shared" si="51"/>
        <v>-0.14326489361702127</v>
      </c>
    </row>
    <row r="83" spans="1:26" s="24" customFormat="1" hidden="1" outlineLevel="2" x14ac:dyDescent="0.3">
      <c r="A83" s="29"/>
      <c r="B83" s="11" t="str">
        <f>CONCATENATE("          ", "6241", " - ", "OFFICE EXPENSE")</f>
        <v xml:space="preserve">          6241 - OFFICE EXPENSE</v>
      </c>
      <c r="C83" s="11"/>
      <c r="D83" s="6">
        <v>2479.64</v>
      </c>
      <c r="E83" s="2"/>
      <c r="F83" s="7">
        <f t="shared" si="44"/>
        <v>2.5700242579179845E-3</v>
      </c>
      <c r="G83" s="2"/>
      <c r="H83" s="6">
        <v>1445</v>
      </c>
      <c r="I83" s="2"/>
      <c r="J83" s="7">
        <f t="shared" si="45"/>
        <v>1.6290133477633478E-3</v>
      </c>
      <c r="K83" s="2"/>
      <c r="L83" s="6">
        <f t="shared" si="46"/>
        <v>1034.6399999999999</v>
      </c>
      <c r="M83" s="2"/>
      <c r="N83" s="7">
        <f t="shared" si="47"/>
        <v>0.71601384083044972</v>
      </c>
      <c r="O83" s="11"/>
      <c r="P83" s="6">
        <v>13662.21</v>
      </c>
      <c r="Q83" s="2"/>
      <c r="R83" s="7">
        <f t="shared" si="48"/>
        <v>2.358420299262985E-3</v>
      </c>
      <c r="S83" s="2"/>
      <c r="T83" s="6">
        <v>8670</v>
      </c>
      <c r="U83" s="2"/>
      <c r="V83" s="7">
        <f t="shared" si="49"/>
        <v>1.9199085884353741E-3</v>
      </c>
      <c r="W83" s="2"/>
      <c r="X83" s="6">
        <f t="shared" si="50"/>
        <v>4992.2099999999991</v>
      </c>
      <c r="Y83" s="2"/>
      <c r="Z83" s="7">
        <f t="shared" si="51"/>
        <v>0.57580276816608988</v>
      </c>
    </row>
    <row r="84" spans="1:26" s="24" customFormat="1" hidden="1" outlineLevel="2" x14ac:dyDescent="0.3">
      <c r="A84" s="29"/>
      <c r="B84" s="11" t="str">
        <f>CONCATENATE("          ", "6243", " - ", "PAPER SUPPLIES")</f>
        <v xml:space="preserve">          6243 - PAPER SUPPLIES</v>
      </c>
      <c r="C84" s="11"/>
      <c r="D84" s="6">
        <v>21252.43</v>
      </c>
      <c r="E84" s="2"/>
      <c r="F84" s="7">
        <f t="shared" si="44"/>
        <v>2.2027092900462935E-2</v>
      </c>
      <c r="G84" s="2"/>
      <c r="H84" s="6">
        <v>13300</v>
      </c>
      <c r="I84" s="2"/>
      <c r="J84" s="7">
        <f t="shared" si="45"/>
        <v>1.4993686868686868E-2</v>
      </c>
      <c r="K84" s="2"/>
      <c r="L84" s="6">
        <f t="shared" si="46"/>
        <v>7952.43</v>
      </c>
      <c r="M84" s="2"/>
      <c r="N84" s="7">
        <f t="shared" si="47"/>
        <v>0.59792706766917292</v>
      </c>
      <c r="O84" s="11"/>
      <c r="P84" s="6">
        <v>132358.89000000001</v>
      </c>
      <c r="Q84" s="2"/>
      <c r="R84" s="7">
        <f t="shared" si="48"/>
        <v>2.2848272202221791E-2</v>
      </c>
      <c r="S84" s="2"/>
      <c r="T84" s="6">
        <v>77800</v>
      </c>
      <c r="U84" s="2"/>
      <c r="V84" s="7">
        <f t="shared" si="49"/>
        <v>1.7228245464852607E-2</v>
      </c>
      <c r="W84" s="2"/>
      <c r="X84" s="6">
        <f t="shared" si="50"/>
        <v>54558.890000000014</v>
      </c>
      <c r="Y84" s="2"/>
      <c r="Z84" s="7">
        <f t="shared" si="51"/>
        <v>0.70127107969151692</v>
      </c>
    </row>
    <row r="85" spans="1:26" s="24" customFormat="1" hidden="1" outlineLevel="2" x14ac:dyDescent="0.3">
      <c r="A85" s="29"/>
      <c r="B85" s="11" t="str">
        <f>CONCATENATE("          ", "6244", " - ", "SAFETY SUPPLY EXPENSE")</f>
        <v xml:space="preserve">          6244 - SAFETY SUPPLY EXPENSE</v>
      </c>
      <c r="C85" s="11"/>
      <c r="D85" s="6"/>
      <c r="E85" s="2"/>
      <c r="F85" s="7">
        <f t="shared" si="44"/>
        <v>0</v>
      </c>
      <c r="G85" s="2"/>
      <c r="H85" s="6">
        <v>525</v>
      </c>
      <c r="I85" s="2"/>
      <c r="J85" s="7">
        <f t="shared" si="45"/>
        <v>5.9185606060606062E-4</v>
      </c>
      <c r="K85" s="2"/>
      <c r="L85" s="6">
        <f t="shared" si="46"/>
        <v>-525</v>
      </c>
      <c r="M85" s="2"/>
      <c r="N85" s="7">
        <f t="shared" si="47"/>
        <v>-1</v>
      </c>
      <c r="O85" s="11"/>
      <c r="P85" s="6"/>
      <c r="Q85" s="2"/>
      <c r="R85" s="7">
        <f t="shared" si="48"/>
        <v>0</v>
      </c>
      <c r="S85" s="2"/>
      <c r="T85" s="6">
        <v>3150</v>
      </c>
      <c r="U85" s="2"/>
      <c r="V85" s="7">
        <f t="shared" si="49"/>
        <v>6.9754464285714287E-4</v>
      </c>
      <c r="W85" s="2"/>
      <c r="X85" s="6">
        <f t="shared" si="50"/>
        <v>-3150</v>
      </c>
      <c r="Y85" s="2"/>
      <c r="Z85" s="7">
        <f t="shared" si="51"/>
        <v>-1</v>
      </c>
    </row>
    <row r="86" spans="1:26" s="24" customFormat="1" hidden="1" outlineLevel="2" x14ac:dyDescent="0.3">
      <c r="A86" s="29"/>
      <c r="B86" s="11" t="str">
        <f>CONCATENATE("          ", "6247", " - ", "STORE SUPPLIES")</f>
        <v xml:space="preserve">          6247 - STORE SUPPLIES</v>
      </c>
      <c r="C86" s="11"/>
      <c r="D86" s="6">
        <v>444.68</v>
      </c>
      <c r="E86" s="2"/>
      <c r="F86" s="7">
        <f t="shared" si="44"/>
        <v>4.6088883346411951E-4</v>
      </c>
      <c r="G86" s="2"/>
      <c r="H86" s="6"/>
      <c r="I86" s="2"/>
      <c r="J86" s="7">
        <f t="shared" si="45"/>
        <v>0</v>
      </c>
      <c r="K86" s="2"/>
      <c r="L86" s="6">
        <f t="shared" si="46"/>
        <v>444.68</v>
      </c>
      <c r="M86" s="2"/>
      <c r="N86" s="7">
        <f t="shared" si="47"/>
        <v>0</v>
      </c>
      <c r="O86" s="11"/>
      <c r="P86" s="6">
        <v>1244.71</v>
      </c>
      <c r="Q86" s="2"/>
      <c r="R86" s="7">
        <f t="shared" si="48"/>
        <v>2.1486635988581865E-4</v>
      </c>
      <c r="S86" s="2"/>
      <c r="T86" s="6"/>
      <c r="U86" s="2"/>
      <c r="V86" s="7">
        <f t="shared" si="49"/>
        <v>0</v>
      </c>
      <c r="W86" s="2"/>
      <c r="X86" s="6">
        <f t="shared" si="50"/>
        <v>1244.71</v>
      </c>
      <c r="Y86" s="2"/>
      <c r="Z86" s="7">
        <f t="shared" si="51"/>
        <v>0</v>
      </c>
    </row>
    <row r="87" spans="1:26" s="24" customFormat="1" hidden="1" outlineLevel="2" x14ac:dyDescent="0.3">
      <c r="A87" s="29"/>
      <c r="B87" s="11" t="str">
        <f>CONCATENATE("          ", "6248", " - ", "UNIFORMS")</f>
        <v xml:space="preserve">          6248 - UNIFORMS</v>
      </c>
      <c r="C87" s="11"/>
      <c r="D87" s="6"/>
      <c r="E87" s="2"/>
      <c r="F87" s="7">
        <f t="shared" si="44"/>
        <v>0</v>
      </c>
      <c r="G87" s="2"/>
      <c r="H87" s="6">
        <v>588</v>
      </c>
      <c r="I87" s="2"/>
      <c r="J87" s="7">
        <f t="shared" si="45"/>
        <v>6.6287878787878792E-4</v>
      </c>
      <c r="K87" s="2"/>
      <c r="L87" s="6">
        <f t="shared" si="46"/>
        <v>-588</v>
      </c>
      <c r="M87" s="2"/>
      <c r="N87" s="7">
        <f t="shared" si="47"/>
        <v>-1</v>
      </c>
      <c r="O87" s="11"/>
      <c r="P87" s="6">
        <v>5611.23</v>
      </c>
      <c r="Q87" s="2"/>
      <c r="R87" s="7">
        <f t="shared" si="48"/>
        <v>9.6863089762442829E-4</v>
      </c>
      <c r="S87" s="2"/>
      <c r="T87" s="6">
        <v>3528</v>
      </c>
      <c r="U87" s="2"/>
      <c r="V87" s="7">
        <f t="shared" si="49"/>
        <v>7.8125000000000004E-4</v>
      </c>
      <c r="W87" s="2"/>
      <c r="X87" s="6">
        <f t="shared" si="50"/>
        <v>2083.2299999999996</v>
      </c>
      <c r="Y87" s="2"/>
      <c r="Z87" s="7">
        <f t="shared" si="51"/>
        <v>0.59048469387755087</v>
      </c>
    </row>
    <row r="88" spans="1:26" s="28" customFormat="1" outlineLevel="1" collapsed="1" x14ac:dyDescent="0.3">
      <c r="A88" s="27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SUM(OSRRefD22_16x_0)</f>
        <v>284</v>
      </c>
      <c r="E88" s="1"/>
      <c r="F88" s="5">
        <f t="shared" ref="F88:F90" si="52">IF(D$12=0,0,D88/D$12)</f>
        <v>2.9435195804580809E-4</v>
      </c>
      <c r="G88" s="1"/>
      <c r="H88" s="1">
        <f>SUM(OSRRefH22_16x_0)</f>
        <v>601</v>
      </c>
      <c r="I88" s="1"/>
      <c r="J88" s="5">
        <f t="shared" ref="J88:J90" si="53">IF(H$12=0,0,H88/H$12)</f>
        <v>6.7753427128427123E-4</v>
      </c>
      <c r="K88" s="1"/>
      <c r="L88" s="1">
        <f t="shared" ref="L88:L90" si="54">+D88-H88</f>
        <v>-317</v>
      </c>
      <c r="M88" s="1"/>
      <c r="N88" s="5">
        <f t="shared" ref="N88:N90" si="55">IF(H88=0,0,L88/H88)</f>
        <v>-0.52745424292845255</v>
      </c>
      <c r="O88" s="14"/>
      <c r="P88" s="1">
        <f>SUM(OSRRefP22_16x_0)</f>
        <v>4285.8500000000004</v>
      </c>
      <c r="Q88" s="1"/>
      <c r="R88" s="5">
        <f t="shared" ref="R88:R90" si="56">IF(P$12=0,0,P88/P$12)</f>
        <v>7.3983898941651946E-4</v>
      </c>
      <c r="S88" s="1"/>
      <c r="T88" s="1">
        <f>SUM(OSRRefT22_16x_0)</f>
        <v>3606</v>
      </c>
      <c r="U88" s="1"/>
      <c r="V88" s="5">
        <f t="shared" ref="V88:V90" si="57">IF(T$12=0,0,T88/T$12)</f>
        <v>7.9852253401360544E-4</v>
      </c>
      <c r="W88" s="1"/>
      <c r="X88" s="1">
        <f t="shared" ref="X88:X90" si="58">+P88-T88</f>
        <v>679.85000000000036</v>
      </c>
      <c r="Y88" s="1"/>
      <c r="Z88" s="5">
        <f t="shared" ref="Z88:Z90" si="59">IF(T88=0,0,X88/T88)</f>
        <v>0.18853300055463126</v>
      </c>
    </row>
    <row r="89" spans="1:26" s="24" customFormat="1" hidden="1" outlineLevel="2" x14ac:dyDescent="0.3">
      <c r="A89" s="29"/>
      <c r="B89" s="11" t="str">
        <f>CONCATENATE("          ", "6303", " - ", "DATA PHONE LINES")</f>
        <v xml:space="preserve">          6303 - DATA PHONE LINES</v>
      </c>
      <c r="C89" s="11"/>
      <c r="D89" s="6"/>
      <c r="E89" s="2"/>
      <c r="F89" s="7">
        <f t="shared" si="52"/>
        <v>0</v>
      </c>
      <c r="G89" s="2"/>
      <c r="H89" s="6">
        <v>58</v>
      </c>
      <c r="I89" s="2"/>
      <c r="J89" s="7">
        <f t="shared" si="53"/>
        <v>6.5386002886002893E-5</v>
      </c>
      <c r="K89" s="2"/>
      <c r="L89" s="6">
        <f t="shared" si="54"/>
        <v>-58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348</v>
      </c>
      <c r="U89" s="2"/>
      <c r="V89" s="7">
        <f t="shared" si="57"/>
        <v>7.7062074829931966E-5</v>
      </c>
      <c r="W89" s="2"/>
      <c r="X89" s="6">
        <f t="shared" si="58"/>
        <v>-348</v>
      </c>
      <c r="Y89" s="2"/>
      <c r="Z89" s="7">
        <f t="shared" si="59"/>
        <v>-1</v>
      </c>
    </row>
    <row r="90" spans="1:26" s="24" customFormat="1" hidden="1" outlineLevel="2" x14ac:dyDescent="0.3">
      <c r="A90" s="29"/>
      <c r="B90" s="11" t="str">
        <f>CONCATENATE("          ", "6309", " - ", "TELEPHONE")</f>
        <v xml:space="preserve">          6309 - TELEPHONE</v>
      </c>
      <c r="C90" s="11"/>
      <c r="D90" s="6">
        <v>284</v>
      </c>
      <c r="E90" s="2"/>
      <c r="F90" s="7">
        <f t="shared" si="52"/>
        <v>2.9435195804580809E-4</v>
      </c>
      <c r="G90" s="2"/>
      <c r="H90" s="6">
        <v>543</v>
      </c>
      <c r="I90" s="2"/>
      <c r="J90" s="7">
        <f t="shared" si="53"/>
        <v>6.1214826839826842E-4</v>
      </c>
      <c r="K90" s="2"/>
      <c r="L90" s="6">
        <f t="shared" si="54"/>
        <v>-259</v>
      </c>
      <c r="M90" s="2"/>
      <c r="N90" s="7">
        <f t="shared" si="55"/>
        <v>-0.47697974217311234</v>
      </c>
      <c r="O90" s="11"/>
      <c r="P90" s="6">
        <v>4285.8500000000004</v>
      </c>
      <c r="Q90" s="2"/>
      <c r="R90" s="7">
        <f t="shared" si="56"/>
        <v>7.3983898941651946E-4</v>
      </c>
      <c r="S90" s="2"/>
      <c r="T90" s="6">
        <v>3258</v>
      </c>
      <c r="U90" s="2"/>
      <c r="V90" s="7">
        <f t="shared" si="57"/>
        <v>7.2146045918367345E-4</v>
      </c>
      <c r="W90" s="2"/>
      <c r="X90" s="6">
        <f t="shared" si="58"/>
        <v>1027.8500000000004</v>
      </c>
      <c r="Y90" s="2"/>
      <c r="Z90" s="7">
        <f t="shared" si="59"/>
        <v>0.31548496009821986</v>
      </c>
    </row>
    <row r="91" spans="1:26" s="28" customFormat="1" outlineLevel="1" collapsed="1" x14ac:dyDescent="0.3">
      <c r="A91" s="27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SUM(OSRRefD22_17x_0)</f>
        <v>825</v>
      </c>
      <c r="E91" s="1"/>
      <c r="F91" s="5">
        <f t="shared" ref="F91:F95" si="60">IF(D$12=0,0,D91/D$12)</f>
        <v>8.5507170911194256E-4</v>
      </c>
      <c r="G91" s="1"/>
      <c r="H91" s="1">
        <f>SUM(OSRRefH22_17x_0)</f>
        <v>640</v>
      </c>
      <c r="I91" s="1"/>
      <c r="J91" s="5">
        <f t="shared" ref="J91:J95" si="61">IF(H$12=0,0,H91/H$12)</f>
        <v>7.215007215007215E-4</v>
      </c>
      <c r="K91" s="1"/>
      <c r="L91" s="1">
        <f t="shared" ref="L91:L95" si="62">+D91-H91</f>
        <v>185</v>
      </c>
      <c r="M91" s="1"/>
      <c r="N91" s="5">
        <f t="shared" ref="N91:N95" si="63">IF(H91=0,0,L91/H91)</f>
        <v>0.2890625</v>
      </c>
      <c r="O91" s="14"/>
      <c r="P91" s="1">
        <f>SUM(OSRRefP22_17x_0)</f>
        <v>1070</v>
      </c>
      <c r="Q91" s="1"/>
      <c r="R91" s="5">
        <f t="shared" ref="R91:R95" si="64">IF(P$12=0,0,P91/P$12)</f>
        <v>1.8470728529362338E-4</v>
      </c>
      <c r="S91" s="1"/>
      <c r="T91" s="1">
        <f>SUM(OSRRefT22_17x_0)</f>
        <v>3840</v>
      </c>
      <c r="U91" s="1"/>
      <c r="V91" s="5">
        <f t="shared" ref="V91:V95" si="65">IF(T$12=0,0,T91/T$12)</f>
        <v>8.5034013605442174E-4</v>
      </c>
      <c r="W91" s="1"/>
      <c r="X91" s="1">
        <f t="shared" ref="X91:X95" si="66">+P91-T91</f>
        <v>-2770</v>
      </c>
      <c r="Y91" s="1"/>
      <c r="Z91" s="5">
        <f t="shared" ref="Z91:Z95" si="67">IF(T91=0,0,X91/T91)</f>
        <v>-0.72135416666666663</v>
      </c>
    </row>
    <row r="92" spans="1:26" s="24" customFormat="1" hidden="1" outlineLevel="2" x14ac:dyDescent="0.3">
      <c r="A92" s="29"/>
      <c r="B92" s="11" t="str">
        <f>CONCATENATE("          ", "6376", " - ", "TRAINING")</f>
        <v xml:space="preserve">          6376 - TRAINING</v>
      </c>
      <c r="C92" s="11"/>
      <c r="D92" s="6">
        <v>825</v>
      </c>
      <c r="E92" s="2"/>
      <c r="F92" s="7">
        <f t="shared" si="60"/>
        <v>8.5507170911194256E-4</v>
      </c>
      <c r="G92" s="2"/>
      <c r="H92" s="6">
        <v>640</v>
      </c>
      <c r="I92" s="2"/>
      <c r="J92" s="7">
        <f t="shared" si="61"/>
        <v>7.215007215007215E-4</v>
      </c>
      <c r="K92" s="2"/>
      <c r="L92" s="6">
        <f t="shared" si="62"/>
        <v>185</v>
      </c>
      <c r="M92" s="2"/>
      <c r="N92" s="7">
        <f t="shared" si="63"/>
        <v>0.2890625</v>
      </c>
      <c r="O92" s="11"/>
      <c r="P92" s="6">
        <v>1070</v>
      </c>
      <c r="Q92" s="2"/>
      <c r="R92" s="7">
        <f t="shared" si="64"/>
        <v>1.8470728529362338E-4</v>
      </c>
      <c r="S92" s="2"/>
      <c r="T92" s="6">
        <v>3840</v>
      </c>
      <c r="U92" s="2"/>
      <c r="V92" s="7">
        <f t="shared" si="65"/>
        <v>8.5034013605442174E-4</v>
      </c>
      <c r="W92" s="2"/>
      <c r="X92" s="6">
        <f t="shared" si="66"/>
        <v>-2770</v>
      </c>
      <c r="Y92" s="2"/>
      <c r="Z92" s="7">
        <f t="shared" si="67"/>
        <v>-0.72135416666666663</v>
      </c>
    </row>
    <row r="93" spans="1:26" s="28" customFormat="1" outlineLevel="1" collapsed="1" x14ac:dyDescent="0.3">
      <c r="A93" s="27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SUM(OSRRefD22_18x_0)</f>
        <v>0</v>
      </c>
      <c r="E93" s="1"/>
      <c r="F93" s="5">
        <f t="shared" si="60"/>
        <v>0</v>
      </c>
      <c r="G93" s="1"/>
      <c r="H93" s="1">
        <f>SUM(OSRRefH22_18x_0)</f>
        <v>0</v>
      </c>
      <c r="I93" s="1"/>
      <c r="J93" s="5">
        <f t="shared" si="61"/>
        <v>0</v>
      </c>
      <c r="K93" s="1"/>
      <c r="L93" s="1">
        <f t="shared" si="62"/>
        <v>0</v>
      </c>
      <c r="M93" s="1"/>
      <c r="N93" s="5">
        <f t="shared" si="63"/>
        <v>0</v>
      </c>
      <c r="O93" s="14"/>
      <c r="P93" s="1">
        <f>SUM(OSRRefP22_18x_0)</f>
        <v>699.02</v>
      </c>
      <c r="Q93" s="1"/>
      <c r="R93" s="5">
        <f t="shared" si="64"/>
        <v>1.2066737062238188E-4</v>
      </c>
      <c r="S93" s="1"/>
      <c r="T93" s="1">
        <f>SUM(OSRRefT22_18x_0)</f>
        <v>0</v>
      </c>
      <c r="U93" s="1"/>
      <c r="V93" s="5">
        <f t="shared" si="65"/>
        <v>0</v>
      </c>
      <c r="W93" s="1"/>
      <c r="X93" s="1">
        <f t="shared" si="66"/>
        <v>699.02</v>
      </c>
      <c r="Y93" s="1"/>
      <c r="Z93" s="5">
        <f t="shared" si="67"/>
        <v>0</v>
      </c>
    </row>
    <row r="94" spans="1:26" s="24" customFormat="1" hidden="1" outlineLevel="2" x14ac:dyDescent="0.3">
      <c r="A94" s="29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60"/>
        <v>0</v>
      </c>
      <c r="G94" s="2"/>
      <c r="H94" s="6"/>
      <c r="I94" s="2"/>
      <c r="J94" s="7">
        <f t="shared" si="61"/>
        <v>0</v>
      </c>
      <c r="K94" s="2"/>
      <c r="L94" s="6">
        <f t="shared" si="62"/>
        <v>0</v>
      </c>
      <c r="M94" s="2"/>
      <c r="N94" s="7">
        <f t="shared" si="63"/>
        <v>0</v>
      </c>
      <c r="O94" s="11"/>
      <c r="P94" s="6">
        <v>595</v>
      </c>
      <c r="Q94" s="2"/>
      <c r="R94" s="7">
        <f t="shared" si="64"/>
        <v>1.0271106051374385E-4</v>
      </c>
      <c r="S94" s="2"/>
      <c r="T94" s="6"/>
      <c r="U94" s="2"/>
      <c r="V94" s="7">
        <f t="shared" si="65"/>
        <v>0</v>
      </c>
      <c r="W94" s="2"/>
      <c r="X94" s="6">
        <f t="shared" si="66"/>
        <v>595</v>
      </c>
      <c r="Y94" s="2"/>
      <c r="Z94" s="7">
        <f t="shared" si="67"/>
        <v>0</v>
      </c>
    </row>
    <row r="95" spans="1:26" s="24" customFormat="1" hidden="1" outlineLevel="2" x14ac:dyDescent="0.3">
      <c r="A95" s="29"/>
      <c r="B95" s="11" t="str">
        <f>CONCATENATE("          ", "6298", " - ", "VEHICLE MILEAGE")</f>
        <v xml:space="preserve">          6298 - VEHICLE MILEAGE</v>
      </c>
      <c r="C95" s="11"/>
      <c r="D95" s="6"/>
      <c r="E95" s="2"/>
      <c r="F95" s="7">
        <f t="shared" si="60"/>
        <v>0</v>
      </c>
      <c r="G95" s="2"/>
      <c r="H95" s="6"/>
      <c r="I95" s="2"/>
      <c r="J95" s="7">
        <f t="shared" si="61"/>
        <v>0</v>
      </c>
      <c r="K95" s="2"/>
      <c r="L95" s="6">
        <f t="shared" si="62"/>
        <v>0</v>
      </c>
      <c r="M95" s="2"/>
      <c r="N95" s="7">
        <f t="shared" si="63"/>
        <v>0</v>
      </c>
      <c r="O95" s="11"/>
      <c r="P95" s="6">
        <v>104.02</v>
      </c>
      <c r="Q95" s="2"/>
      <c r="R95" s="7">
        <f t="shared" si="64"/>
        <v>1.795631010863804E-5</v>
      </c>
      <c r="S95" s="2"/>
      <c r="T95" s="6"/>
      <c r="U95" s="2"/>
      <c r="V95" s="7">
        <f t="shared" si="65"/>
        <v>0</v>
      </c>
      <c r="W95" s="2"/>
      <c r="X95" s="6">
        <f t="shared" si="66"/>
        <v>104.02</v>
      </c>
      <c r="Y95" s="2"/>
      <c r="Z95" s="7">
        <f t="shared" si="67"/>
        <v>0</v>
      </c>
    </row>
    <row r="96" spans="1:26" s="55" customFormat="1" x14ac:dyDescent="0.3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3">
      <c r="A97" s="10"/>
      <c r="B97" s="25" t="s">
        <v>293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3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3">
      <c r="A99" s="10"/>
      <c r="B99" s="26" t="s">
        <v>277</v>
      </c>
      <c r="C99" s="26"/>
      <c r="D99" s="20">
        <f>+D23-D25+D97</f>
        <v>282483.39000000019</v>
      </c>
      <c r="E99" s="13"/>
      <c r="F99" s="22">
        <f>IF(D$12=0,0,D99/D$12)</f>
        <v>0.29278006676731583</v>
      </c>
      <c r="G99" s="13"/>
      <c r="H99" s="20">
        <f>+H23-H25+H97</f>
        <v>130599.72767493397</v>
      </c>
      <c r="I99" s="13"/>
      <c r="J99" s="22">
        <f>IF(H$12=0,0,H99/H$12)</f>
        <v>0.14723093397697282</v>
      </c>
      <c r="K99" s="16"/>
      <c r="L99" s="20">
        <f>+D99-H99</f>
        <v>151883.66232506622</v>
      </c>
      <c r="M99" s="16"/>
      <c r="N99" s="22">
        <f>IF(H99=0,0,L99/H99)</f>
        <v>1.1629707429643996</v>
      </c>
      <c r="O99" s="25"/>
      <c r="P99" s="20">
        <f>+P23-P25+P97</f>
        <v>1589539.129999999</v>
      </c>
      <c r="Q99" s="13"/>
      <c r="R99" s="22">
        <f>IF(P$12=0,0,P99/P$12)</f>
        <v>0.27439201642082967</v>
      </c>
      <c r="S99" s="13"/>
      <c r="T99" s="20">
        <f>+T23-T25+T97</f>
        <v>237561.46538707009</v>
      </c>
      <c r="U99" s="13"/>
      <c r="V99" s="22">
        <f>IF(T$12=0,0,T99/T$12)</f>
        <v>5.2606262707950255E-2</v>
      </c>
      <c r="W99" s="16"/>
      <c r="X99" s="20">
        <f>+P99-T99</f>
        <v>1351977.6646129289</v>
      </c>
      <c r="Y99" s="16"/>
      <c r="Z99" s="22">
        <f>IF(T99=0,0,X99/T99)</f>
        <v>5.6910646783984431</v>
      </c>
    </row>
    <row r="100" spans="1:26" x14ac:dyDescent="0.3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">
      <c r="A101" s="52"/>
      <c r="B101" s="10" t="s">
        <v>128</v>
      </c>
      <c r="C101" s="10"/>
      <c r="D101" s="4">
        <v>122216.38</v>
      </c>
      <c r="E101" s="4"/>
      <c r="F101" s="12">
        <f>IF(D$12=0,0,D101/D$12)</f>
        <v>0.12667123506433289</v>
      </c>
      <c r="G101" s="4"/>
      <c r="H101" s="4">
        <v>131025</v>
      </c>
      <c r="I101" s="4"/>
      <c r="J101" s="12">
        <f>IF(H$12=0,0,H101/H$12)</f>
        <v>0.14771036255411255</v>
      </c>
      <c r="K101" s="4"/>
      <c r="L101" s="4">
        <f>+D101-H101</f>
        <v>-8808.6199999999953</v>
      </c>
      <c r="M101" s="4"/>
      <c r="N101" s="12">
        <f>IF(H101=0,0,L101/H101)</f>
        <v>-6.7228544170959706E-2</v>
      </c>
      <c r="O101" s="10"/>
      <c r="P101" s="4">
        <v>697301.96</v>
      </c>
      <c r="Q101" s="4"/>
      <c r="R101" s="12">
        <f>IF(P$12=0,0,P101/P$12)</f>
        <v>0.12037079631918014</v>
      </c>
      <c r="S101" s="4"/>
      <c r="T101" s="4">
        <v>584670</v>
      </c>
      <c r="U101" s="4"/>
      <c r="V101" s="12">
        <f>IF(T$12=0,0,T101/T$12)</f>
        <v>0.12947092899659865</v>
      </c>
      <c r="W101" s="4"/>
      <c r="X101" s="4">
        <f>+P101-T101</f>
        <v>112631.95999999996</v>
      </c>
      <c r="Y101" s="4"/>
      <c r="Z101" s="12">
        <f>IF(T101=0,0,X101/T101)</f>
        <v>0.19264193476662042</v>
      </c>
    </row>
    <row r="102" spans="1:26" x14ac:dyDescent="0.3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35">
      <c r="A103" s="10"/>
      <c r="B103" s="26" t="s">
        <v>126</v>
      </c>
      <c r="C103" s="26"/>
      <c r="D103" s="31">
        <f>+D99-D101</f>
        <v>160267.01000000018</v>
      </c>
      <c r="E103" s="13"/>
      <c r="F103" s="30">
        <f>IF(D$12=0,0,D103/D$12)</f>
        <v>0.16610883170298296</v>
      </c>
      <c r="G103" s="13"/>
      <c r="H103" s="31">
        <f>+H99-H101</f>
        <v>-425.27232506603468</v>
      </c>
      <c r="I103" s="13"/>
      <c r="J103" s="30">
        <f>IF(H$12=0,0,H103/H$12)</f>
        <v>-4.7942857713973965E-4</v>
      </c>
      <c r="K103" s="16"/>
      <c r="L103" s="31">
        <f>D103-H103</f>
        <v>160692.28232506622</v>
      </c>
      <c r="M103" s="16"/>
      <c r="N103" s="30">
        <f>IF(H103=0,0,L103/H103)</f>
        <v>-377.85737009835879</v>
      </c>
      <c r="O103" s="25"/>
      <c r="P103" s="31">
        <f>+P99-P101</f>
        <v>892237.16999999899</v>
      </c>
      <c r="Q103" s="13"/>
      <c r="R103" s="30">
        <f>IF(P$12=0,0,P103/P$12)</f>
        <v>0.15402122010164951</v>
      </c>
      <c r="S103" s="13"/>
      <c r="T103" s="31">
        <f>+T99-T101</f>
        <v>-347108.53461292991</v>
      </c>
      <c r="U103" s="13"/>
      <c r="V103" s="30">
        <f>IF(T$12=0,0,T103/T$12)</f>
        <v>-7.6864666288648381E-2</v>
      </c>
      <c r="W103" s="16"/>
      <c r="X103" s="31">
        <f>P103-T103</f>
        <v>1239345.7046129289</v>
      </c>
      <c r="Y103" s="16"/>
      <c r="Z103" s="30">
        <f>IF(T103=0,0,X103/T103)</f>
        <v>-3.570484678502523</v>
      </c>
    </row>
    <row r="104" spans="1:26" ht="15" thickTop="1" x14ac:dyDescent="0.3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3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35">
      <c r="A106" s="10"/>
      <c r="B106" s="26" t="s">
        <v>294</v>
      </c>
      <c r="C106" s="26"/>
      <c r="D106" s="35">
        <f>SUM(D103:D105)</f>
        <v>160267.01000000018</v>
      </c>
      <c r="E106" s="13"/>
      <c r="F106" s="34">
        <f>IF(D$12=0,0,D106/D$12)</f>
        <v>0.16610883170298296</v>
      </c>
      <c r="G106" s="13"/>
      <c r="H106" s="35">
        <f>SUM(H103:H105)</f>
        <v>-425.27232506603468</v>
      </c>
      <c r="I106" s="13"/>
      <c r="J106" s="34">
        <f>IF(H$12=0,0,H106/H$12)</f>
        <v>-4.7942857713973965E-4</v>
      </c>
      <c r="K106" s="16"/>
      <c r="L106" s="35">
        <f>+D106-H106</f>
        <v>160692.28232506622</v>
      </c>
      <c r="M106" s="16"/>
      <c r="N106" s="34">
        <f>IF(H106=0,0,L106/H106)</f>
        <v>-377.85737009835879</v>
      </c>
      <c r="O106" s="25"/>
      <c r="P106" s="35">
        <f>SUM(P103:P105)</f>
        <v>892237.16999999899</v>
      </c>
      <c r="Q106" s="13"/>
      <c r="R106" s="34">
        <f>IF(P$12=0,0,P106/P$12)</f>
        <v>0.15402122010164951</v>
      </c>
      <c r="S106" s="13"/>
      <c r="T106" s="35">
        <f>SUM(T103:T105)</f>
        <v>-347108.53461292991</v>
      </c>
      <c r="U106" s="13"/>
      <c r="V106" s="34">
        <f>IF(T$12=0,0,T106/T$12)</f>
        <v>-7.6864666288648381E-2</v>
      </c>
      <c r="W106" s="16"/>
      <c r="X106" s="35">
        <f>+P106-T106</f>
        <v>1239345.7046129289</v>
      </c>
      <c r="Y106" s="16"/>
      <c r="Z106" s="34">
        <f>IF(T106=0,0,X106/T106)</f>
        <v>-3.570484678502523</v>
      </c>
    </row>
    <row r="107" spans="1:26" ht="15" thickTop="1" x14ac:dyDescent="0.3">
      <c r="A107" s="9"/>
      <c r="C107" s="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3">
      <c r="A108" s="9"/>
      <c r="B108" s="61">
        <v>44575.842090659724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3">
      <c r="A109" s="9"/>
      <c r="B109" s="62" t="s">
        <v>56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3">
      <c r="A110" s="9"/>
      <c r="B110" s="53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"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","430", " - ", "Res Hall Management")</f>
        <v>Department 430 - Res Hall Management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20870.63</v>
      </c>
      <c r="E18" s="21"/>
      <c r="F18" s="32">
        <f t="shared" ref="F18:F28" si="0">IF(D$12=0,0,D18/D$12)</f>
        <v>0</v>
      </c>
      <c r="G18" s="21"/>
      <c r="H18" s="21">
        <f>SUM(OSRRefH22x_0)</f>
        <v>17174.263740000002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3696.3662599999989</v>
      </c>
      <c r="M18" s="4"/>
      <c r="N18" s="32">
        <f t="shared" ref="N18:N28" si="3">IF(H18=0,0,L18/H18)</f>
        <v>0.21522705811201187</v>
      </c>
      <c r="O18" s="10"/>
      <c r="P18" s="21">
        <f>SUM(OSRRefP22x_0)</f>
        <v>116950.13999999998</v>
      </c>
      <c r="Q18" s="21"/>
      <c r="R18" s="32">
        <f t="shared" ref="R18:R28" si="4">IF(P$12=0,0,P18/P$12)</f>
        <v>0</v>
      </c>
      <c r="S18" s="21"/>
      <c r="T18" s="21">
        <f>SUM(OSRRefT22x_0)</f>
        <v>108431.71431000001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8518.4256899999746</v>
      </c>
      <c r="Y18" s="4"/>
      <c r="Z18" s="32">
        <f t="shared" ref="Z18:Z28" si="7">IF(T18=0,0,X18/T18)</f>
        <v>7.8560278643628995E-2</v>
      </c>
    </row>
    <row r="19" spans="1:26" s="28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5868.99</v>
      </c>
      <c r="E19" s="1"/>
      <c r="F19" s="5">
        <f t="shared" si="0"/>
        <v>0</v>
      </c>
      <c r="G19" s="1"/>
      <c r="H19" s="1">
        <f>SUM(OSRRefH22_0x_0)</f>
        <v>4239.16374</v>
      </c>
      <c r="I19" s="1"/>
      <c r="J19" s="5">
        <f t="shared" si="1"/>
        <v>0</v>
      </c>
      <c r="K19" s="1"/>
      <c r="L19" s="1">
        <f t="shared" si="2"/>
        <v>1629.8262599999998</v>
      </c>
      <c r="M19" s="1"/>
      <c r="N19" s="5">
        <f t="shared" si="3"/>
        <v>0.38446881506870029</v>
      </c>
      <c r="O19" s="14"/>
      <c r="P19" s="1">
        <f>SUM(OSRRefP22_0x_0)</f>
        <v>35782.909999999996</v>
      </c>
      <c r="Q19" s="1"/>
      <c r="R19" s="5">
        <f t="shared" si="4"/>
        <v>0</v>
      </c>
      <c r="S19" s="1"/>
      <c r="T19" s="1">
        <f>SUM(OSRRefT22_0x_0)</f>
        <v>26566.064310000002</v>
      </c>
      <c r="U19" s="1"/>
      <c r="V19" s="5">
        <f t="shared" si="5"/>
        <v>0</v>
      </c>
      <c r="W19" s="1"/>
      <c r="X19" s="1">
        <f t="shared" si="6"/>
        <v>9216.8456899999946</v>
      </c>
      <c r="Y19" s="1"/>
      <c r="Z19" s="5">
        <f t="shared" si="7"/>
        <v>0.34694057736397893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6">
        <v>730.45</v>
      </c>
      <c r="E20" s="2"/>
      <c r="F20" s="7">
        <f t="shared" si="0"/>
        <v>0</v>
      </c>
      <c r="G20" s="2"/>
      <c r="H20" s="6">
        <v>685.55574000000001</v>
      </c>
      <c r="I20" s="2"/>
      <c r="J20" s="7">
        <f t="shared" si="1"/>
        <v>0</v>
      </c>
      <c r="K20" s="2"/>
      <c r="L20" s="6">
        <f t="shared" si="2"/>
        <v>44.894260000000031</v>
      </c>
      <c r="M20" s="2"/>
      <c r="N20" s="7">
        <f t="shared" si="3"/>
        <v>6.5485937000542116E-2</v>
      </c>
      <c r="O20" s="11"/>
      <c r="P20" s="6">
        <v>4556.32</v>
      </c>
      <c r="Q20" s="2"/>
      <c r="R20" s="7">
        <f t="shared" si="4"/>
        <v>0</v>
      </c>
      <c r="S20" s="2"/>
      <c r="T20" s="6">
        <v>4456.1123100000004</v>
      </c>
      <c r="U20" s="2"/>
      <c r="V20" s="7">
        <f t="shared" si="5"/>
        <v>0</v>
      </c>
      <c r="W20" s="2"/>
      <c r="X20" s="6">
        <f t="shared" si="6"/>
        <v>100.20768999999927</v>
      </c>
      <c r="Y20" s="2"/>
      <c r="Z20" s="7">
        <f t="shared" si="7"/>
        <v>2.2487693987227907E-2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335.45</v>
      </c>
      <c r="E21" s="2"/>
      <c r="F21" s="7">
        <f t="shared" si="0"/>
        <v>0</v>
      </c>
      <c r="G21" s="2"/>
      <c r="H21" s="6">
        <v>339.50819999999999</v>
      </c>
      <c r="I21" s="2"/>
      <c r="J21" s="7">
        <f t="shared" si="1"/>
        <v>0</v>
      </c>
      <c r="K21" s="2"/>
      <c r="L21" s="6">
        <f t="shared" si="2"/>
        <v>-4.0581999999999994</v>
      </c>
      <c r="M21" s="2"/>
      <c r="N21" s="7">
        <f t="shared" si="3"/>
        <v>-1.1953172265058692E-2</v>
      </c>
      <c r="O21" s="11"/>
      <c r="P21" s="6">
        <v>2135.84</v>
      </c>
      <c r="Q21" s="2"/>
      <c r="R21" s="7">
        <f t="shared" si="4"/>
        <v>0</v>
      </c>
      <c r="S21" s="2"/>
      <c r="T21" s="6">
        <v>2206.8033</v>
      </c>
      <c r="U21" s="2"/>
      <c r="V21" s="7">
        <f t="shared" si="5"/>
        <v>0</v>
      </c>
      <c r="W21" s="2"/>
      <c r="X21" s="6">
        <f t="shared" si="6"/>
        <v>-70.96329999999989</v>
      </c>
      <c r="Y21" s="2"/>
      <c r="Z21" s="7">
        <f t="shared" si="7"/>
        <v>-3.2156604079756401E-2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6">
        <v>2687.98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710.98</v>
      </c>
      <c r="M22" s="2"/>
      <c r="N22" s="7">
        <f t="shared" si="3"/>
        <v>0.35962569549822965</v>
      </c>
      <c r="O22" s="11"/>
      <c r="P22" s="6">
        <v>16139.13</v>
      </c>
      <c r="Q22" s="2"/>
      <c r="R22" s="7">
        <f t="shared" si="4"/>
        <v>0</v>
      </c>
      <c r="S22" s="2"/>
      <c r="T22" s="6">
        <v>11862</v>
      </c>
      <c r="U22" s="2"/>
      <c r="V22" s="7">
        <f t="shared" si="5"/>
        <v>0</v>
      </c>
      <c r="W22" s="2"/>
      <c r="X22" s="6">
        <f t="shared" si="6"/>
        <v>4277.1299999999992</v>
      </c>
      <c r="Y22" s="2"/>
      <c r="Z22" s="7">
        <f t="shared" si="7"/>
        <v>0.36057410217501257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24.23</v>
      </c>
      <c r="E23" s="2"/>
      <c r="F23" s="7">
        <f t="shared" si="0"/>
        <v>0</v>
      </c>
      <c r="G23" s="2"/>
      <c r="H23" s="6">
        <v>18.811800000000002</v>
      </c>
      <c r="I23" s="2"/>
      <c r="J23" s="7">
        <f t="shared" si="1"/>
        <v>0</v>
      </c>
      <c r="K23" s="2"/>
      <c r="L23" s="6">
        <f t="shared" si="2"/>
        <v>5.4181999999999988</v>
      </c>
      <c r="M23" s="2"/>
      <c r="N23" s="7">
        <f t="shared" si="3"/>
        <v>0.28802134830266102</v>
      </c>
      <c r="O23" s="11"/>
      <c r="P23" s="6">
        <v>154.25</v>
      </c>
      <c r="Q23" s="2"/>
      <c r="R23" s="7">
        <f t="shared" si="4"/>
        <v>0</v>
      </c>
      <c r="S23" s="2"/>
      <c r="T23" s="6">
        <v>122.27670000000001</v>
      </c>
      <c r="U23" s="2"/>
      <c r="V23" s="7">
        <f t="shared" si="5"/>
        <v>0</v>
      </c>
      <c r="W23" s="2"/>
      <c r="X23" s="6">
        <f t="shared" si="6"/>
        <v>31.973299999999995</v>
      </c>
      <c r="Y23" s="2"/>
      <c r="Z23" s="7">
        <f t="shared" si="7"/>
        <v>0.2614831770893391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6">
        <v>707.23</v>
      </c>
      <c r="E24" s="2"/>
      <c r="F24" s="7">
        <f t="shared" si="0"/>
        <v>0</v>
      </c>
      <c r="G24" s="2"/>
      <c r="H24" s="6">
        <v>770.38800000000003</v>
      </c>
      <c r="I24" s="2"/>
      <c r="J24" s="7">
        <f t="shared" si="1"/>
        <v>0</v>
      </c>
      <c r="K24" s="2"/>
      <c r="L24" s="6">
        <f t="shared" si="2"/>
        <v>-63.158000000000015</v>
      </c>
      <c r="M24" s="2"/>
      <c r="N24" s="7">
        <f t="shared" si="3"/>
        <v>-8.1982066179639365E-2</v>
      </c>
      <c r="O24" s="11"/>
      <c r="P24" s="6">
        <v>4474.59</v>
      </c>
      <c r="Q24" s="2"/>
      <c r="R24" s="7">
        <f t="shared" si="4"/>
        <v>0</v>
      </c>
      <c r="S24" s="2"/>
      <c r="T24" s="6">
        <v>5007.5219999999999</v>
      </c>
      <c r="U24" s="2"/>
      <c r="V24" s="7">
        <f t="shared" si="5"/>
        <v>0</v>
      </c>
      <c r="W24" s="2"/>
      <c r="X24" s="6">
        <f t="shared" si="6"/>
        <v>-532.93199999999979</v>
      </c>
      <c r="Y24" s="2"/>
      <c r="Z24" s="7">
        <f t="shared" si="7"/>
        <v>-0.10642629228588507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6">
        <v>860.74</v>
      </c>
      <c r="E26" s="2"/>
      <c r="F26" s="7">
        <f t="shared" si="0"/>
        <v>0</v>
      </c>
      <c r="G26" s="2"/>
      <c r="H26" s="6">
        <v>268.74</v>
      </c>
      <c r="I26" s="2"/>
      <c r="J26" s="7">
        <f t="shared" si="1"/>
        <v>0</v>
      </c>
      <c r="K26" s="2"/>
      <c r="L26" s="6">
        <f t="shared" si="2"/>
        <v>592</v>
      </c>
      <c r="M26" s="2"/>
      <c r="N26" s="7">
        <f t="shared" si="3"/>
        <v>2.2028726650293962</v>
      </c>
      <c r="O26" s="11"/>
      <c r="P26" s="6">
        <v>5082.46</v>
      </c>
      <c r="Q26" s="2"/>
      <c r="R26" s="7">
        <f t="shared" si="4"/>
        <v>0</v>
      </c>
      <c r="S26" s="2"/>
      <c r="T26" s="6">
        <v>1746.81</v>
      </c>
      <c r="U26" s="2"/>
      <c r="V26" s="7">
        <f t="shared" si="5"/>
        <v>0</v>
      </c>
      <c r="W26" s="2"/>
      <c r="X26" s="6">
        <f t="shared" si="6"/>
        <v>3335.65</v>
      </c>
      <c r="Y26" s="2"/>
      <c r="Z26" s="7">
        <f t="shared" si="7"/>
        <v>1.9095665813683229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6">
        <v>429.78</v>
      </c>
      <c r="E27" s="2"/>
      <c r="F27" s="7">
        <f t="shared" si="0"/>
        <v>0</v>
      </c>
      <c r="G27" s="2"/>
      <c r="H27" s="6">
        <v>179.16</v>
      </c>
      <c r="I27" s="2"/>
      <c r="J27" s="7">
        <f t="shared" si="1"/>
        <v>0</v>
      </c>
      <c r="K27" s="2"/>
      <c r="L27" s="6">
        <f t="shared" si="2"/>
        <v>250.61999999999998</v>
      </c>
      <c r="M27" s="2"/>
      <c r="N27" s="7">
        <f t="shared" si="3"/>
        <v>1.398861352980576</v>
      </c>
      <c r="O27" s="11"/>
      <c r="P27" s="6">
        <v>2719.23</v>
      </c>
      <c r="Q27" s="2"/>
      <c r="R27" s="7">
        <f t="shared" si="4"/>
        <v>0</v>
      </c>
      <c r="S27" s="2"/>
      <c r="T27" s="6">
        <v>1164.54</v>
      </c>
      <c r="U27" s="2"/>
      <c r="V27" s="7">
        <f t="shared" si="5"/>
        <v>0</v>
      </c>
      <c r="W27" s="2"/>
      <c r="X27" s="6">
        <f t="shared" si="6"/>
        <v>1554.69</v>
      </c>
      <c r="Y27" s="2"/>
      <c r="Z27" s="7">
        <f t="shared" si="7"/>
        <v>1.3350249884074399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6">
        <v>93.13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93.13</v>
      </c>
      <c r="M28" s="2"/>
      <c r="N28" s="7">
        <f t="shared" si="3"/>
        <v>0</v>
      </c>
      <c r="O28" s="11"/>
      <c r="P28" s="6">
        <v>521.09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521.09</v>
      </c>
      <c r="Y28" s="2"/>
      <c r="Z28" s="7">
        <f t="shared" si="7"/>
        <v>0</v>
      </c>
    </row>
    <row r="29" spans="1:26" s="28" customFormat="1" outlineLevel="1" collapsed="1" x14ac:dyDescent="0.3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8852.02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341.92000000000007</v>
      </c>
      <c r="M29" s="1"/>
      <c r="N29" s="5">
        <f t="shared" ref="N29:N39" si="11">IF(H29=0,0,L29/H29)</f>
        <v>4.0178141267435172E-2</v>
      </c>
      <c r="O29" s="14"/>
      <c r="P29" s="1">
        <f>SUM(OSRRefP22_1x_0)</f>
        <v>55746.2</v>
      </c>
      <c r="Q29" s="1"/>
      <c r="R29" s="5">
        <f t="shared" ref="R29:R39" si="12">IF(P$12=0,0,P29/P$12)</f>
        <v>0</v>
      </c>
      <c r="S29" s="1"/>
      <c r="T29" s="1">
        <f>SUM(OSRRefT22_1x_0)</f>
        <v>55315.65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430.54999999999563</v>
      </c>
      <c r="Y29" s="1"/>
      <c r="Z29" s="5">
        <f t="shared" ref="Z29:Z39" si="15">IF(T29=0,0,X29/T29)</f>
        <v>7.7835115378739224E-3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>
        <v>8852.02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8852.02</v>
      </c>
      <c r="M30" s="2"/>
      <c r="N30" s="7">
        <f t="shared" si="11"/>
        <v>0</v>
      </c>
      <c r="O30" s="11"/>
      <c r="P30" s="6">
        <v>55746.2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55746.2</v>
      </c>
      <c r="Y30" s="2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8510.1</v>
      </c>
      <c r="I31" s="2"/>
      <c r="J31" s="7">
        <f t="shared" si="9"/>
        <v>0</v>
      </c>
      <c r="K31" s="2"/>
      <c r="L31" s="6">
        <f t="shared" si="10"/>
        <v>-8510.1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55315.65</v>
      </c>
      <c r="U31" s="2"/>
      <c r="V31" s="7">
        <f t="shared" si="13"/>
        <v>0</v>
      </c>
      <c r="W31" s="2"/>
      <c r="X31" s="6">
        <f t="shared" si="14"/>
        <v>-55315.65</v>
      </c>
      <c r="Y31" s="2"/>
      <c r="Z31" s="7">
        <f t="shared" si="15"/>
        <v>-1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8" si="16">IF(D$12=0,0,D40/D$12)</f>
        <v>0</v>
      </c>
      <c r="G40" s="1"/>
      <c r="H40" s="1">
        <f>SUM(OSRRefH22_2x_0)</f>
        <v>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0</v>
      </c>
      <c r="M40" s="1"/>
      <c r="N40" s="5">
        <f t="shared" ref="N40:N48" si="19">IF(H40=0,0,L40/H40)</f>
        <v>0</v>
      </c>
      <c r="O40" s="14"/>
      <c r="P40" s="1">
        <f>SUM(OSRRefP22_2x_0)</f>
        <v>45</v>
      </c>
      <c r="Q40" s="1"/>
      <c r="R40" s="5">
        <f t="shared" ref="R40:R48" si="20">IF(P$12=0,0,P40/P$12)</f>
        <v>0</v>
      </c>
      <c r="S40" s="1"/>
      <c r="T40" s="1">
        <f>SUM(OSRRefT22_2x_0)</f>
        <v>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45</v>
      </c>
      <c r="Y40" s="1"/>
      <c r="Z40" s="5">
        <f t="shared" ref="Z40:Z48" si="23">IF(T40=0,0,X40/T40)</f>
        <v>0</v>
      </c>
    </row>
    <row r="41" spans="1:26" s="24" customFormat="1" hidden="1" outlineLevel="2" x14ac:dyDescent="0.3">
      <c r="A41" s="29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45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45</v>
      </c>
      <c r="Y41" s="2"/>
      <c r="Z41" s="7">
        <f t="shared" si="23"/>
        <v>0</v>
      </c>
    </row>
    <row r="42" spans="1:26" s="28" customFormat="1" outlineLevel="1" collapsed="1" x14ac:dyDescent="0.3">
      <c r="A42" s="27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200</v>
      </c>
      <c r="I42" s="1"/>
      <c r="J42" s="5">
        <f t="shared" si="17"/>
        <v>0</v>
      </c>
      <c r="K42" s="1"/>
      <c r="L42" s="1">
        <f t="shared" si="18"/>
        <v>-200</v>
      </c>
      <c r="M42" s="1"/>
      <c r="N42" s="5">
        <f t="shared" si="19"/>
        <v>-1</v>
      </c>
      <c r="O42" s="14"/>
      <c r="P42" s="1">
        <f>SUM(OSRRefP22_3x_0)</f>
        <v>170</v>
      </c>
      <c r="Q42" s="1"/>
      <c r="R42" s="5">
        <f t="shared" si="20"/>
        <v>0</v>
      </c>
      <c r="S42" s="1"/>
      <c r="T42" s="1">
        <f>SUM(OSRRefT22_3x_0)</f>
        <v>1200</v>
      </c>
      <c r="U42" s="1"/>
      <c r="V42" s="5">
        <f t="shared" si="21"/>
        <v>0</v>
      </c>
      <c r="W42" s="1"/>
      <c r="X42" s="1">
        <f t="shared" si="22"/>
        <v>-1030</v>
      </c>
      <c r="Y42" s="1"/>
      <c r="Z42" s="5">
        <f t="shared" si="23"/>
        <v>-0.85833333333333328</v>
      </c>
    </row>
    <row r="43" spans="1:26" s="24" customFormat="1" hidden="1" outlineLevel="2" x14ac:dyDescent="0.3">
      <c r="A43" s="29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16"/>
        <v>0</v>
      </c>
      <c r="G43" s="2"/>
      <c r="H43" s="6">
        <v>200</v>
      </c>
      <c r="I43" s="2"/>
      <c r="J43" s="7">
        <f t="shared" si="17"/>
        <v>0</v>
      </c>
      <c r="K43" s="2"/>
      <c r="L43" s="6">
        <f t="shared" si="18"/>
        <v>-200</v>
      </c>
      <c r="M43" s="2"/>
      <c r="N43" s="7">
        <f t="shared" si="19"/>
        <v>-1</v>
      </c>
      <c r="O43" s="11"/>
      <c r="P43" s="6">
        <v>170</v>
      </c>
      <c r="Q43" s="2"/>
      <c r="R43" s="7">
        <f t="shared" si="20"/>
        <v>0</v>
      </c>
      <c r="S43" s="2"/>
      <c r="T43" s="6">
        <v>1200</v>
      </c>
      <c r="U43" s="2"/>
      <c r="V43" s="7">
        <f t="shared" si="21"/>
        <v>0</v>
      </c>
      <c r="W43" s="2"/>
      <c r="X43" s="6">
        <f t="shared" si="22"/>
        <v>-1030</v>
      </c>
      <c r="Y43" s="2"/>
      <c r="Z43" s="7">
        <f t="shared" si="23"/>
        <v>-0.85833333333333328</v>
      </c>
    </row>
    <row r="44" spans="1:26" s="28" customFormat="1" outlineLevel="1" collapsed="1" x14ac:dyDescent="0.3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3500</v>
      </c>
      <c r="E44" s="1"/>
      <c r="F44" s="5">
        <f t="shared" si="16"/>
        <v>0</v>
      </c>
      <c r="G44" s="1"/>
      <c r="H44" s="1">
        <f>SUM(OSRRefH22_4x_0)</f>
        <v>3500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21000</v>
      </c>
      <c r="Q44" s="1"/>
      <c r="R44" s="5">
        <f t="shared" si="20"/>
        <v>0</v>
      </c>
      <c r="S44" s="1"/>
      <c r="T44" s="1">
        <f>SUM(OSRRefT22_4x_0)</f>
        <v>21000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3">
      <c r="A45" s="29"/>
      <c r="B45" s="11" t="str">
        <f>CONCATENATE("          ", "6371", " - ", "COMPUTER SOFTWARE MAINTENANCE")</f>
        <v xml:space="preserve">          6371 - COMPUTER SOFTWARE MAINTENANCE</v>
      </c>
      <c r="C45" s="11"/>
      <c r="D45" s="6">
        <v>3500</v>
      </c>
      <c r="E45" s="2"/>
      <c r="F45" s="7">
        <f t="shared" si="16"/>
        <v>0</v>
      </c>
      <c r="G45" s="2"/>
      <c r="H45" s="6">
        <v>3500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>
        <v>21000</v>
      </c>
      <c r="Q45" s="2"/>
      <c r="R45" s="7">
        <f t="shared" si="20"/>
        <v>0</v>
      </c>
      <c r="S45" s="2"/>
      <c r="T45" s="6">
        <v>21000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8" customFormat="1" outlineLevel="1" collapsed="1" x14ac:dyDescent="0.3">
      <c r="A46" s="27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SUM(OSRRefD22_5x_0)</f>
        <v>1824.62</v>
      </c>
      <c r="E46" s="1"/>
      <c r="F46" s="5">
        <f t="shared" si="16"/>
        <v>0</v>
      </c>
      <c r="G46" s="1"/>
      <c r="H46" s="1">
        <f>SUM(OSRRefH22_5x_0)</f>
        <v>342</v>
      </c>
      <c r="I46" s="1"/>
      <c r="J46" s="5">
        <f t="shared" si="17"/>
        <v>0</v>
      </c>
      <c r="K46" s="1"/>
      <c r="L46" s="1">
        <f t="shared" si="18"/>
        <v>1482.62</v>
      </c>
      <c r="M46" s="1"/>
      <c r="N46" s="5">
        <f t="shared" si="19"/>
        <v>4.335146198830409</v>
      </c>
      <c r="O46" s="14"/>
      <c r="P46" s="1">
        <f>SUM(OSRRefP22_5x_0)</f>
        <v>2353.0300000000002</v>
      </c>
      <c r="Q46" s="1"/>
      <c r="R46" s="5">
        <f t="shared" si="20"/>
        <v>0</v>
      </c>
      <c r="S46" s="1"/>
      <c r="T46" s="1">
        <f>SUM(OSRRefT22_5x_0)</f>
        <v>2052</v>
      </c>
      <c r="U46" s="1"/>
      <c r="V46" s="5">
        <f t="shared" si="21"/>
        <v>0</v>
      </c>
      <c r="W46" s="1"/>
      <c r="X46" s="1">
        <f t="shared" si="22"/>
        <v>301.0300000000002</v>
      </c>
      <c r="Y46" s="1"/>
      <c r="Z46" s="5">
        <f t="shared" si="23"/>
        <v>0.14670077972709561</v>
      </c>
    </row>
    <row r="47" spans="1:26" s="24" customFormat="1" hidden="1" outlineLevel="2" x14ac:dyDescent="0.3">
      <c r="A47" s="29"/>
      <c r="B47" s="11" t="str">
        <f>CONCATENATE("          ", "6234", " - ", "EXPENDABLE SUPPLIES &amp; EQUIPMEN")</f>
        <v xml:space="preserve">          6234 - EXPENDABLE SUPPLIES &amp; EQUIPMEN</v>
      </c>
      <c r="C47" s="11"/>
      <c r="D47" s="6"/>
      <c r="E47" s="2"/>
      <c r="F47" s="7">
        <f t="shared" si="16"/>
        <v>0</v>
      </c>
      <c r="G47" s="2"/>
      <c r="H47" s="6">
        <v>342</v>
      </c>
      <c r="I47" s="2"/>
      <c r="J47" s="7">
        <f t="shared" si="17"/>
        <v>0</v>
      </c>
      <c r="K47" s="2"/>
      <c r="L47" s="6">
        <f t="shared" si="18"/>
        <v>-342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2052</v>
      </c>
      <c r="U47" s="2"/>
      <c r="V47" s="7">
        <f t="shared" si="21"/>
        <v>0</v>
      </c>
      <c r="W47" s="2"/>
      <c r="X47" s="6">
        <f t="shared" si="22"/>
        <v>-2052</v>
      </c>
      <c r="Y47" s="2"/>
      <c r="Z47" s="7">
        <f t="shared" si="23"/>
        <v>-1</v>
      </c>
    </row>
    <row r="48" spans="1:26" s="24" customFormat="1" hidden="1" outlineLevel="2" x14ac:dyDescent="0.3">
      <c r="A48" s="29"/>
      <c r="B48" s="11" t="str">
        <f>CONCATENATE("          ", "6241", " - ", "OFFICE EXPENSE")</f>
        <v xml:space="preserve">          6241 - OFFICE EXPENSE</v>
      </c>
      <c r="C48" s="11"/>
      <c r="D48" s="6">
        <v>1824.62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1824.62</v>
      </c>
      <c r="M48" s="2"/>
      <c r="N48" s="7">
        <f t="shared" si="19"/>
        <v>0</v>
      </c>
      <c r="O48" s="11"/>
      <c r="P48" s="6">
        <v>2353.0300000000002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2353.0300000000002</v>
      </c>
      <c r="Y48" s="2"/>
      <c r="Z48" s="7">
        <f t="shared" si="23"/>
        <v>0</v>
      </c>
    </row>
    <row r="49" spans="1:26" s="28" customFormat="1" outlineLevel="1" collapsed="1" x14ac:dyDescent="0.3">
      <c r="A49" s="27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0</v>
      </c>
      <c r="E49" s="1"/>
      <c r="F49" s="5">
        <f t="shared" ref="F49:F51" si="24">IF(D$12=0,0,D49/D$12)</f>
        <v>0</v>
      </c>
      <c r="G49" s="1"/>
      <c r="H49" s="1">
        <f>SUM(OSRRefH22_6x_0)</f>
        <v>83</v>
      </c>
      <c r="I49" s="1"/>
      <c r="J49" s="5">
        <f t="shared" ref="J49:J51" si="25">IF(H$12=0,0,H49/H$12)</f>
        <v>0</v>
      </c>
      <c r="K49" s="1"/>
      <c r="L49" s="1">
        <f t="shared" ref="L49:L51" si="26">+D49-H49</f>
        <v>-83</v>
      </c>
      <c r="M49" s="1"/>
      <c r="N49" s="5">
        <f t="shared" ref="N49:N51" si="27">IF(H49=0,0,L49/H49)</f>
        <v>-1</v>
      </c>
      <c r="O49" s="14"/>
      <c r="P49" s="1">
        <f>SUM(OSRRefP22_6x_0)</f>
        <v>433</v>
      </c>
      <c r="Q49" s="1"/>
      <c r="R49" s="5">
        <f t="shared" ref="R49:R51" si="28">IF(P$12=0,0,P49/P$12)</f>
        <v>0</v>
      </c>
      <c r="S49" s="1"/>
      <c r="T49" s="1">
        <f>SUM(OSRRefT22_6x_0)</f>
        <v>498</v>
      </c>
      <c r="U49" s="1"/>
      <c r="V49" s="5">
        <f t="shared" ref="V49:V51" si="29">IF(T$12=0,0,T49/T$12)</f>
        <v>0</v>
      </c>
      <c r="W49" s="1"/>
      <c r="X49" s="1">
        <f t="shared" ref="X49:X51" si="30">+P49-T49</f>
        <v>-65</v>
      </c>
      <c r="Y49" s="1"/>
      <c r="Z49" s="5">
        <f t="shared" ref="Z49:Z51" si="31">IF(T49=0,0,X49/T49)</f>
        <v>-0.13052208835341367</v>
      </c>
    </row>
    <row r="50" spans="1:26" s="24" customFormat="1" hidden="1" outlineLevel="2" x14ac:dyDescent="0.3">
      <c r="A50" s="29"/>
      <c r="B50" s="11" t="str">
        <f>CONCATENATE("          ", "6303", " - ", "DATA PHONE LINES")</f>
        <v xml:space="preserve">          6303 - DATA PHONE LINES</v>
      </c>
      <c r="C50" s="11"/>
      <c r="D50" s="6"/>
      <c r="E50" s="2"/>
      <c r="F50" s="7">
        <f t="shared" si="24"/>
        <v>0</v>
      </c>
      <c r="G50" s="2"/>
      <c r="H50" s="6">
        <v>58</v>
      </c>
      <c r="I50" s="2"/>
      <c r="J50" s="7">
        <f t="shared" si="25"/>
        <v>0</v>
      </c>
      <c r="K50" s="2"/>
      <c r="L50" s="6">
        <f t="shared" si="26"/>
        <v>-58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348</v>
      </c>
      <c r="U50" s="2"/>
      <c r="V50" s="7">
        <f t="shared" si="29"/>
        <v>0</v>
      </c>
      <c r="W50" s="2"/>
      <c r="X50" s="6">
        <f t="shared" si="30"/>
        <v>-348</v>
      </c>
      <c r="Y50" s="2"/>
      <c r="Z50" s="7">
        <f t="shared" si="31"/>
        <v>-1</v>
      </c>
    </row>
    <row r="51" spans="1:26" s="24" customFormat="1" hidden="1" outlineLevel="2" x14ac:dyDescent="0.3">
      <c r="A51" s="29"/>
      <c r="B51" s="11" t="str">
        <f>CONCATENATE("          ", "6309", " - ", "TELEPHONE")</f>
        <v xml:space="preserve">          6309 - TELEPHONE</v>
      </c>
      <c r="C51" s="11"/>
      <c r="D51" s="6">
        <v>0</v>
      </c>
      <c r="E51" s="2"/>
      <c r="F51" s="7">
        <f t="shared" si="24"/>
        <v>0</v>
      </c>
      <c r="G51" s="2"/>
      <c r="H51" s="6">
        <v>25</v>
      </c>
      <c r="I51" s="2"/>
      <c r="J51" s="7">
        <f t="shared" si="25"/>
        <v>0</v>
      </c>
      <c r="K51" s="2"/>
      <c r="L51" s="6">
        <f t="shared" si="26"/>
        <v>-25</v>
      </c>
      <c r="M51" s="2"/>
      <c r="N51" s="7">
        <f t="shared" si="27"/>
        <v>-1</v>
      </c>
      <c r="O51" s="11"/>
      <c r="P51" s="6">
        <v>433</v>
      </c>
      <c r="Q51" s="2"/>
      <c r="R51" s="7">
        <f t="shared" si="28"/>
        <v>0</v>
      </c>
      <c r="S51" s="2"/>
      <c r="T51" s="6">
        <v>150</v>
      </c>
      <c r="U51" s="2"/>
      <c r="V51" s="7">
        <f t="shared" si="29"/>
        <v>0</v>
      </c>
      <c r="W51" s="2"/>
      <c r="X51" s="6">
        <f t="shared" si="30"/>
        <v>283</v>
      </c>
      <c r="Y51" s="2"/>
      <c r="Z51" s="7">
        <f t="shared" si="31"/>
        <v>1.8866666666666667</v>
      </c>
    </row>
    <row r="52" spans="1:26" s="28" customFormat="1" outlineLevel="1" collapsed="1" x14ac:dyDescent="0.3">
      <c r="A52" s="27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825</v>
      </c>
      <c r="E52" s="1"/>
      <c r="F52" s="5">
        <f t="shared" ref="F52:F55" si="32">IF(D$12=0,0,D52/D$12)</f>
        <v>0</v>
      </c>
      <c r="G52" s="1"/>
      <c r="H52" s="1">
        <f>SUM(OSRRefH22_7x_0)</f>
        <v>300</v>
      </c>
      <c r="I52" s="1"/>
      <c r="J52" s="5">
        <f t="shared" ref="J52:J55" si="33">IF(H$12=0,0,H52/H$12)</f>
        <v>0</v>
      </c>
      <c r="K52" s="1"/>
      <c r="L52" s="1">
        <f t="shared" ref="L52:L55" si="34">+D52-H52</f>
        <v>525</v>
      </c>
      <c r="M52" s="1"/>
      <c r="N52" s="5">
        <f t="shared" ref="N52:N55" si="35">IF(H52=0,0,L52/H52)</f>
        <v>1.75</v>
      </c>
      <c r="O52" s="14"/>
      <c r="P52" s="1">
        <f>SUM(OSRRefP22_7x_0)</f>
        <v>825</v>
      </c>
      <c r="Q52" s="1"/>
      <c r="R52" s="5">
        <f t="shared" ref="R52:R55" si="36">IF(P$12=0,0,P52/P$12)</f>
        <v>0</v>
      </c>
      <c r="S52" s="1"/>
      <c r="T52" s="1">
        <f>SUM(OSRRefT22_7x_0)</f>
        <v>1800</v>
      </c>
      <c r="U52" s="1"/>
      <c r="V52" s="5">
        <f t="shared" ref="V52:V55" si="37">IF(T$12=0,0,T52/T$12)</f>
        <v>0</v>
      </c>
      <c r="W52" s="1"/>
      <c r="X52" s="1">
        <f t="shared" ref="X52:X55" si="38">+P52-T52</f>
        <v>-975</v>
      </c>
      <c r="Y52" s="1"/>
      <c r="Z52" s="5">
        <f t="shared" ref="Z52:Z55" si="39">IF(T52=0,0,X52/T52)</f>
        <v>-0.54166666666666663</v>
      </c>
    </row>
    <row r="53" spans="1:26" s="24" customFormat="1" hidden="1" outlineLevel="2" x14ac:dyDescent="0.3">
      <c r="A53" s="29"/>
      <c r="B53" s="11" t="str">
        <f>CONCATENATE("          ", "6376", " - ", "TRAINING")</f>
        <v xml:space="preserve">          6376 - TRAINING</v>
      </c>
      <c r="C53" s="11"/>
      <c r="D53" s="6">
        <v>825</v>
      </c>
      <c r="E53" s="2"/>
      <c r="F53" s="7">
        <f t="shared" si="32"/>
        <v>0</v>
      </c>
      <c r="G53" s="2"/>
      <c r="H53" s="6">
        <v>300</v>
      </c>
      <c r="I53" s="2"/>
      <c r="J53" s="7">
        <f t="shared" si="33"/>
        <v>0</v>
      </c>
      <c r="K53" s="2"/>
      <c r="L53" s="6">
        <f t="shared" si="34"/>
        <v>525</v>
      </c>
      <c r="M53" s="2"/>
      <c r="N53" s="7">
        <f t="shared" si="35"/>
        <v>1.75</v>
      </c>
      <c r="O53" s="11"/>
      <c r="P53" s="6">
        <v>825</v>
      </c>
      <c r="Q53" s="2"/>
      <c r="R53" s="7">
        <f t="shared" si="36"/>
        <v>0</v>
      </c>
      <c r="S53" s="2"/>
      <c r="T53" s="6">
        <v>1800</v>
      </c>
      <c r="U53" s="2"/>
      <c r="V53" s="7">
        <f t="shared" si="37"/>
        <v>0</v>
      </c>
      <c r="W53" s="2"/>
      <c r="X53" s="6">
        <f t="shared" si="38"/>
        <v>-975</v>
      </c>
      <c r="Y53" s="2"/>
      <c r="Z53" s="7">
        <f t="shared" si="39"/>
        <v>-0.54166666666666663</v>
      </c>
    </row>
    <row r="54" spans="1:26" s="28" customFormat="1" outlineLevel="1" collapsed="1" x14ac:dyDescent="0.3">
      <c r="A54" s="27"/>
      <c r="B54" s="14" t="str">
        <f>CONCATENATE("     ","Travel                                            ")</f>
        <v xml:space="preserve">     Travel                                            </v>
      </c>
      <c r="C54" s="14"/>
      <c r="D54" s="1">
        <f>SUM(OSRRefD22_8x_0)</f>
        <v>0</v>
      </c>
      <c r="E54" s="1"/>
      <c r="F54" s="5">
        <f t="shared" si="32"/>
        <v>0</v>
      </c>
      <c r="G54" s="1"/>
      <c r="H54" s="1">
        <f>SUM(OSRRefH22_8x_0)</f>
        <v>0</v>
      </c>
      <c r="I54" s="1"/>
      <c r="J54" s="5">
        <f t="shared" si="33"/>
        <v>0</v>
      </c>
      <c r="K54" s="1"/>
      <c r="L54" s="1">
        <f t="shared" si="34"/>
        <v>0</v>
      </c>
      <c r="M54" s="1"/>
      <c r="N54" s="5">
        <f t="shared" si="35"/>
        <v>0</v>
      </c>
      <c r="O54" s="14"/>
      <c r="P54" s="1">
        <f>SUM(OSRRefP22_8x_0)</f>
        <v>595</v>
      </c>
      <c r="Q54" s="1"/>
      <c r="R54" s="5">
        <f t="shared" si="36"/>
        <v>0</v>
      </c>
      <c r="S54" s="1"/>
      <c r="T54" s="1">
        <f>SUM(OSRRefT22_8x_0)</f>
        <v>0</v>
      </c>
      <c r="U54" s="1"/>
      <c r="V54" s="5">
        <f t="shared" si="37"/>
        <v>0</v>
      </c>
      <c r="W54" s="1"/>
      <c r="X54" s="1">
        <f t="shared" si="38"/>
        <v>595</v>
      </c>
      <c r="Y54" s="1"/>
      <c r="Z54" s="5">
        <f t="shared" si="39"/>
        <v>0</v>
      </c>
    </row>
    <row r="55" spans="1:26" s="24" customFormat="1" hidden="1" outlineLevel="2" x14ac:dyDescent="0.3">
      <c r="A55" s="29"/>
      <c r="B55" s="11" t="str">
        <f>CONCATENATE("          ", "6292", " - ", "TRAVEL/CONFERENCE")</f>
        <v xml:space="preserve">          6292 - TRAVEL/CONFERENCE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595</v>
      </c>
      <c r="Q55" s="2"/>
      <c r="R55" s="7">
        <f t="shared" si="36"/>
        <v>0</v>
      </c>
      <c r="S55" s="2"/>
      <c r="T55" s="6"/>
      <c r="U55" s="2"/>
      <c r="V55" s="7">
        <f t="shared" si="37"/>
        <v>0</v>
      </c>
      <c r="W55" s="2"/>
      <c r="X55" s="6">
        <f t="shared" si="38"/>
        <v>595</v>
      </c>
      <c r="Y55" s="2"/>
      <c r="Z55" s="7">
        <f t="shared" si="39"/>
        <v>0</v>
      </c>
    </row>
    <row r="56" spans="1:26" s="55" customFormat="1" x14ac:dyDescent="0.3">
      <c r="A56" s="36"/>
      <c r="B56" s="36"/>
      <c r="C56" s="36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3">
      <c r="A57" s="10"/>
      <c r="B57" s="25" t="s">
        <v>293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3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3">
      <c r="A59" s="10"/>
      <c r="B59" s="26" t="s">
        <v>277</v>
      </c>
      <c r="C59" s="26"/>
      <c r="D59" s="20">
        <f>+D16-D18+D57</f>
        <v>-20870.63</v>
      </c>
      <c r="E59" s="13"/>
      <c r="F59" s="22">
        <f>IF(D$12=0,0,D59/D$12)</f>
        <v>0</v>
      </c>
      <c r="G59" s="13"/>
      <c r="H59" s="20">
        <f>+H16-H18+H57</f>
        <v>-17174.263740000002</v>
      </c>
      <c r="I59" s="13"/>
      <c r="J59" s="22">
        <f>IF(H$12=0,0,H59/H$12)</f>
        <v>0</v>
      </c>
      <c r="K59" s="16"/>
      <c r="L59" s="20">
        <f>+D59-H59</f>
        <v>-3696.3662599999989</v>
      </c>
      <c r="M59" s="16"/>
      <c r="N59" s="22">
        <f>IF(H59=0,0,L59/H59)</f>
        <v>0.21522705811201187</v>
      </c>
      <c r="O59" s="25"/>
      <c r="P59" s="20">
        <f>+P16-P18+P57</f>
        <v>-116950.13999999998</v>
      </c>
      <c r="Q59" s="13"/>
      <c r="R59" s="22">
        <f>IF(P$12=0,0,P59/P$12)</f>
        <v>0</v>
      </c>
      <c r="S59" s="13"/>
      <c r="T59" s="20">
        <f>+T16-T18+T57</f>
        <v>-108431.71431000001</v>
      </c>
      <c r="U59" s="13"/>
      <c r="V59" s="22">
        <f>IF(T$12=0,0,T59/T$12)</f>
        <v>0</v>
      </c>
      <c r="W59" s="16"/>
      <c r="X59" s="20">
        <f>+P59-T59</f>
        <v>-8518.4256899999746</v>
      </c>
      <c r="Y59" s="16"/>
      <c r="Z59" s="22">
        <f>IF(T59=0,0,X59/T59)</f>
        <v>7.8560278643628995E-2</v>
      </c>
    </row>
    <row r="60" spans="1:26" x14ac:dyDescent="0.3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3">
      <c r="A61" s="52"/>
      <c r="B61" s="10" t="s">
        <v>128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" thickBot="1" x14ac:dyDescent="0.35">
      <c r="A63" s="10"/>
      <c r="B63" s="26" t="s">
        <v>126</v>
      </c>
      <c r="C63" s="26"/>
      <c r="D63" s="31">
        <f>+D59-D61</f>
        <v>-20870.63</v>
      </c>
      <c r="E63" s="13"/>
      <c r="F63" s="30">
        <f>IF(D$12=0,0,D63/D$12)</f>
        <v>0</v>
      </c>
      <c r="G63" s="13"/>
      <c r="H63" s="31">
        <f>+H59-H61</f>
        <v>-17174.263740000002</v>
      </c>
      <c r="I63" s="13"/>
      <c r="J63" s="30">
        <f>IF(H$12=0,0,H63/H$12)</f>
        <v>0</v>
      </c>
      <c r="K63" s="16"/>
      <c r="L63" s="31">
        <f>D63-H63</f>
        <v>-3696.3662599999989</v>
      </c>
      <c r="M63" s="16"/>
      <c r="N63" s="30">
        <f>IF(H63=0,0,L63/H63)</f>
        <v>0.21522705811201187</v>
      </c>
      <c r="O63" s="25"/>
      <c r="P63" s="31">
        <f>+P59-P61</f>
        <v>-116950.13999999998</v>
      </c>
      <c r="Q63" s="13"/>
      <c r="R63" s="30">
        <f>IF(P$12=0,0,P63/P$12)</f>
        <v>0</v>
      </c>
      <c r="S63" s="13"/>
      <c r="T63" s="31">
        <f>+T59-T61</f>
        <v>-108431.71431000001</v>
      </c>
      <c r="U63" s="13"/>
      <c r="V63" s="30">
        <f>IF(T$12=0,0,T63/T$12)</f>
        <v>0</v>
      </c>
      <c r="W63" s="16"/>
      <c r="X63" s="31">
        <f>P63-T63</f>
        <v>-8518.4256899999746</v>
      </c>
      <c r="Y63" s="16"/>
      <c r="Z63" s="30">
        <f>IF(T63=0,0,X63/T63)</f>
        <v>7.8560278643628995E-2</v>
      </c>
    </row>
    <row r="64" spans="1:26" ht="15" thickTop="1" x14ac:dyDescent="0.3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3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" thickBot="1" x14ac:dyDescent="0.35">
      <c r="A66" s="10"/>
      <c r="B66" s="26" t="s">
        <v>294</v>
      </c>
      <c r="C66" s="26"/>
      <c r="D66" s="35">
        <f>SUM(D63:D65)</f>
        <v>-20870.63</v>
      </c>
      <c r="E66" s="13"/>
      <c r="F66" s="34">
        <f>IF(D$12=0,0,D66/D$12)</f>
        <v>0</v>
      </c>
      <c r="G66" s="13"/>
      <c r="H66" s="35">
        <f>SUM(H63:H65)</f>
        <v>-17174.263740000002</v>
      </c>
      <c r="I66" s="13"/>
      <c r="J66" s="34">
        <f>IF(H$12=0,0,H66/H$12)</f>
        <v>0</v>
      </c>
      <c r="K66" s="16"/>
      <c r="L66" s="35">
        <f>+D66-H66</f>
        <v>-3696.3662599999989</v>
      </c>
      <c r="M66" s="16"/>
      <c r="N66" s="34">
        <f>IF(H66=0,0,L66/H66)</f>
        <v>0.21522705811201187</v>
      </c>
      <c r="O66" s="25"/>
      <c r="P66" s="35">
        <f>SUM(P63:P65)</f>
        <v>-116950.13999999998</v>
      </c>
      <c r="Q66" s="13"/>
      <c r="R66" s="34">
        <f>IF(P$12=0,0,P66/P$12)</f>
        <v>0</v>
      </c>
      <c r="S66" s="13"/>
      <c r="T66" s="35">
        <f>SUM(T63:T65)</f>
        <v>-108431.71431000001</v>
      </c>
      <c r="U66" s="13"/>
      <c r="V66" s="34">
        <f>IF(T$12=0,0,T66/T$12)</f>
        <v>0</v>
      </c>
      <c r="W66" s="16"/>
      <c r="X66" s="35">
        <f>+P66-T66</f>
        <v>-8518.4256899999746</v>
      </c>
      <c r="Y66" s="16"/>
      <c r="Z66" s="34">
        <f>IF(T66=0,0,X66/T66)</f>
        <v>7.8560278643628995E-2</v>
      </c>
    </row>
    <row r="67" spans="1:26" ht="15" thickTop="1" x14ac:dyDescent="0.3">
      <c r="A67" s="9"/>
      <c r="C67" s="9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3">
      <c r="A68" s="9"/>
      <c r="B68" s="61">
        <v>44575.842125659721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3">
      <c r="A69" s="9"/>
      <c r="B69" s="62" t="s">
        <v>56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3">
      <c r="A70" s="9"/>
      <c r="B70" s="53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3"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","433", " - ", "Hillside Dining Hall")</f>
        <v>Department 433 - Hillside Dining Hall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310634.16000000003</v>
      </c>
      <c r="E12" s="4"/>
      <c r="F12" s="12"/>
      <c r="G12" s="4"/>
      <c r="H12" s="4">
        <f>SUM(OSRRefH13x_0)</f>
        <v>356400</v>
      </c>
      <c r="I12" s="4"/>
      <c r="J12" s="12"/>
      <c r="K12" s="4"/>
      <c r="L12" s="4">
        <f t="shared" ref="L12:L16" si="0">+D12-H12</f>
        <v>-45765.839999999967</v>
      </c>
      <c r="M12" s="4"/>
      <c r="N12" s="12">
        <f t="shared" ref="N12:N16" si="1">IF(H12=0,0,L12/H12)</f>
        <v>-0.12841144781144773</v>
      </c>
      <c r="O12" s="10"/>
      <c r="P12" s="4">
        <f>SUM(OSRRefP13x_0)</f>
        <v>2034399.22</v>
      </c>
      <c r="Q12" s="4"/>
      <c r="R12" s="12"/>
      <c r="S12" s="4"/>
      <c r="T12" s="4">
        <f>SUM(OSRRefT13x_0)</f>
        <v>1814400</v>
      </c>
      <c r="U12" s="4"/>
      <c r="V12" s="12"/>
      <c r="W12" s="4"/>
      <c r="X12" s="4">
        <f t="shared" ref="X12:X16" si="2">+P12-T12</f>
        <v>219999.21999999997</v>
      </c>
      <c r="Y12" s="4"/>
      <c r="Z12" s="12">
        <f t="shared" ref="Z12:Z16" si="3">IF(T12=0,0,X12/T12)</f>
        <v>0.12125177469135801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--171.71</f>
        <v>171.71</v>
      </c>
      <c r="E13" s="2"/>
      <c r="F13" s="19"/>
      <c r="G13" s="2"/>
      <c r="H13" s="2"/>
      <c r="I13" s="2"/>
      <c r="J13" s="19"/>
      <c r="K13" s="2"/>
      <c r="L13" s="2">
        <f t="shared" si="0"/>
        <v>171.71</v>
      </c>
      <c r="M13" s="2"/>
      <c r="N13" s="19">
        <f t="shared" si="1"/>
        <v>0</v>
      </c>
      <c r="O13" s="11"/>
      <c r="P13" s="2">
        <f>--1843.99</f>
        <v>1843.99</v>
      </c>
      <c r="Q13" s="2"/>
      <c r="R13" s="19"/>
      <c r="S13" s="2"/>
      <c r="T13" s="2"/>
      <c r="U13" s="2"/>
      <c r="V13" s="19"/>
      <c r="W13" s="2"/>
      <c r="X13" s="2">
        <f t="shared" si="2"/>
        <v>1843.99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356400</v>
      </c>
      <c r="I14" s="2"/>
      <c r="J14" s="19"/>
      <c r="K14" s="2"/>
      <c r="L14" s="2">
        <f t="shared" si="0"/>
        <v>-356400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1814400</v>
      </c>
      <c r="U14" s="2"/>
      <c r="V14" s="19"/>
      <c r="W14" s="2"/>
      <c r="X14" s="2">
        <f t="shared" si="2"/>
        <v>-1814400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--306692.26</f>
        <v>306692.26</v>
      </c>
      <c r="E15" s="2"/>
      <c r="F15" s="19"/>
      <c r="G15" s="2"/>
      <c r="H15" s="2"/>
      <c r="I15" s="2"/>
      <c r="J15" s="19"/>
      <c r="K15" s="2"/>
      <c r="L15" s="2">
        <f t="shared" si="0"/>
        <v>306692.26</v>
      </c>
      <c r="M15" s="2"/>
      <c r="N15" s="19">
        <f t="shared" si="1"/>
        <v>0</v>
      </c>
      <c r="O15" s="11"/>
      <c r="P15" s="2">
        <f>--1994254.92</f>
        <v>1994254.92</v>
      </c>
      <c r="Q15" s="2"/>
      <c r="R15" s="19"/>
      <c r="S15" s="2"/>
      <c r="T15" s="2"/>
      <c r="U15" s="2"/>
      <c r="V15" s="19"/>
      <c r="W15" s="2"/>
      <c r="X15" s="2">
        <f t="shared" si="2"/>
        <v>1994254.92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--3770.19</f>
        <v>3770.19</v>
      </c>
      <c r="E16" s="2"/>
      <c r="F16" s="19"/>
      <c r="G16" s="2"/>
      <c r="H16" s="2"/>
      <c r="I16" s="2"/>
      <c r="J16" s="19"/>
      <c r="K16" s="2"/>
      <c r="L16" s="2">
        <f t="shared" si="0"/>
        <v>3770.19</v>
      </c>
      <c r="M16" s="2"/>
      <c r="N16" s="19">
        <f t="shared" si="1"/>
        <v>0</v>
      </c>
      <c r="O16" s="11"/>
      <c r="P16" s="2">
        <f>--38300.31</f>
        <v>38300.31</v>
      </c>
      <c r="Q16" s="2"/>
      <c r="R16" s="19"/>
      <c r="S16" s="2"/>
      <c r="T16" s="2"/>
      <c r="U16" s="2"/>
      <c r="V16" s="19"/>
      <c r="W16" s="2"/>
      <c r="X16" s="2">
        <f t="shared" si="2"/>
        <v>38300.31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77391.13</v>
      </c>
      <c r="E18" s="4"/>
      <c r="F18" s="12">
        <f t="shared" ref="F18:F21" si="4">IF(D$12=0,0,D18/D$12)</f>
        <v>0.24913914812202237</v>
      </c>
      <c r="G18" s="4"/>
      <c r="H18" s="4">
        <f>SUM(OSRRefH16x_0)</f>
        <v>99792</v>
      </c>
      <c r="I18" s="4"/>
      <c r="J18" s="12">
        <f t="shared" ref="J18:J21" si="5">IF(H$12=0,0,H18/H$12)</f>
        <v>0.28000000000000003</v>
      </c>
      <c r="K18" s="4"/>
      <c r="L18" s="4">
        <f t="shared" ref="L18:L21" si="6">+D18-H18</f>
        <v>-22400.869999999995</v>
      </c>
      <c r="M18" s="4"/>
      <c r="N18" s="12">
        <f t="shared" ref="N18:N21" si="7">IF(H18=0,0,L18/H18)</f>
        <v>-0.22447560926727589</v>
      </c>
      <c r="O18" s="10"/>
      <c r="P18" s="4">
        <f>SUM(OSRRefP16x_0)</f>
        <v>533737.30000000005</v>
      </c>
      <c r="Q18" s="4"/>
      <c r="R18" s="12">
        <f t="shared" ref="R18:R21" si="8">IF(P$12=0,0,P18/P$12)</f>
        <v>0.26235622524471869</v>
      </c>
      <c r="S18" s="4"/>
      <c r="T18" s="4">
        <f>SUM(OSRRefT16x_0)</f>
        <v>527310</v>
      </c>
      <c r="U18" s="4"/>
      <c r="V18" s="12">
        <f t="shared" ref="V18:V21" si="9">IF(T$12=0,0,T18/T$12)</f>
        <v>0.29062500000000002</v>
      </c>
      <c r="W18" s="4"/>
      <c r="X18" s="4">
        <f t="shared" ref="X18:X21" si="10">+P18-T18</f>
        <v>6427.3000000000466</v>
      </c>
      <c r="Y18" s="4"/>
      <c r="Z18" s="12">
        <f t="shared" ref="Z18:Z21" si="11">IF(T18=0,0,X18/T18)</f>
        <v>1.2188845271282635E-2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99792</v>
      </c>
      <c r="I19" s="2"/>
      <c r="J19" s="19">
        <f t="shared" si="5"/>
        <v>0.28000000000000003</v>
      </c>
      <c r="K19" s="2"/>
      <c r="L19" s="2">
        <f t="shared" si="6"/>
        <v>-99792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527310</v>
      </c>
      <c r="U19" s="2"/>
      <c r="V19" s="19">
        <f t="shared" si="9"/>
        <v>0.29062500000000002</v>
      </c>
      <c r="W19" s="2"/>
      <c r="X19" s="2">
        <f t="shared" si="10"/>
        <v>-527310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60607.13</v>
      </c>
      <c r="E20" s="2"/>
      <c r="F20" s="19">
        <f t="shared" si="4"/>
        <v>0.19510774346259918</v>
      </c>
      <c r="G20" s="2"/>
      <c r="H20" s="2"/>
      <c r="I20" s="2"/>
      <c r="J20" s="19">
        <f t="shared" si="5"/>
        <v>0</v>
      </c>
      <c r="K20" s="2"/>
      <c r="L20" s="2">
        <f t="shared" si="6"/>
        <v>60607.13</v>
      </c>
      <c r="M20" s="2"/>
      <c r="N20" s="19">
        <f t="shared" si="7"/>
        <v>0</v>
      </c>
      <c r="O20" s="11"/>
      <c r="P20" s="2">
        <v>540791.30000000005</v>
      </c>
      <c r="Q20" s="2"/>
      <c r="R20" s="19">
        <f t="shared" si="8"/>
        <v>0.26582358795831629</v>
      </c>
      <c r="S20" s="2"/>
      <c r="T20" s="2"/>
      <c r="U20" s="2"/>
      <c r="V20" s="19">
        <f t="shared" si="9"/>
        <v>0</v>
      </c>
      <c r="W20" s="2"/>
      <c r="X20" s="2">
        <f t="shared" si="10"/>
        <v>540791.30000000005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16784</v>
      </c>
      <c r="E21" s="2"/>
      <c r="F21" s="19">
        <f t="shared" si="4"/>
        <v>5.4031404659423153E-2</v>
      </c>
      <c r="G21" s="2"/>
      <c r="H21" s="2"/>
      <c r="I21" s="2"/>
      <c r="J21" s="19">
        <f t="shared" si="5"/>
        <v>0</v>
      </c>
      <c r="K21" s="2"/>
      <c r="L21" s="2">
        <f t="shared" si="6"/>
        <v>16784</v>
      </c>
      <c r="M21" s="2"/>
      <c r="N21" s="19">
        <f t="shared" si="7"/>
        <v>0</v>
      </c>
      <c r="O21" s="11"/>
      <c r="P21" s="2">
        <v>-7054</v>
      </c>
      <c r="Q21" s="2"/>
      <c r="R21" s="19">
        <f t="shared" si="8"/>
        <v>-3.4673627135975798E-3</v>
      </c>
      <c r="S21" s="2"/>
      <c r="T21" s="2"/>
      <c r="U21" s="2"/>
      <c r="V21" s="19">
        <f t="shared" si="9"/>
        <v>0</v>
      </c>
      <c r="W21" s="2"/>
      <c r="X21" s="2">
        <f t="shared" si="10"/>
        <v>-7054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233243.03000000003</v>
      </c>
      <c r="E23" s="13"/>
      <c r="F23" s="22">
        <f>IF(D$12=0,0,D23/D$12)</f>
        <v>0.75086085187797758</v>
      </c>
      <c r="G23" s="13"/>
      <c r="H23" s="20">
        <f>H12-H18</f>
        <v>256608</v>
      </c>
      <c r="I23" s="13"/>
      <c r="J23" s="22">
        <f>IF(H$12=0,0,H23/H$12)</f>
        <v>0.72</v>
      </c>
      <c r="K23" s="16"/>
      <c r="L23" s="20">
        <f>+D23-H23</f>
        <v>-23364.969999999972</v>
      </c>
      <c r="M23" s="16"/>
      <c r="N23" s="22">
        <f>IF(H23=0,0,L23/H23)</f>
        <v>-9.1053162800847881E-2</v>
      </c>
      <c r="O23" s="25"/>
      <c r="P23" s="20">
        <f>P12-P18</f>
        <v>1500661.92</v>
      </c>
      <c r="Q23" s="13"/>
      <c r="R23" s="22">
        <f>IF(P$12=0,0,P23/P$12)</f>
        <v>0.73764377475528131</v>
      </c>
      <c r="S23" s="13"/>
      <c r="T23" s="20">
        <f>T12-T18</f>
        <v>1287090</v>
      </c>
      <c r="U23" s="13"/>
      <c r="V23" s="22">
        <f>IF(T$12=0,0,T23/T$12)</f>
        <v>0.70937499999999998</v>
      </c>
      <c r="W23" s="16"/>
      <c r="X23" s="20">
        <f>+P23-T23</f>
        <v>213571.91999999993</v>
      </c>
      <c r="Y23" s="16"/>
      <c r="Z23" s="22">
        <f>IF(T23=0,0,X23/T23)</f>
        <v>0.1659339440132391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138185.61000000002</v>
      </c>
      <c r="E25" s="21"/>
      <c r="F25" s="32">
        <f t="shared" ref="F25:F36" si="12">IF(D$12=0,0,D25/D$12)</f>
        <v>0.44485001263222307</v>
      </c>
      <c r="G25" s="21"/>
      <c r="H25" s="21">
        <f>SUM(OSRRefH22x_0)</f>
        <v>165721.42189692304</v>
      </c>
      <c r="I25" s="21"/>
      <c r="J25" s="32">
        <f t="shared" ref="J25:J36" si="13">IF(H$12=0,0,H25/H$12)</f>
        <v>0.46498715459293782</v>
      </c>
      <c r="K25" s="4"/>
      <c r="L25" s="21">
        <f t="shared" ref="L25:L36" si="14">+D25-H25</f>
        <v>-27535.811896923027</v>
      </c>
      <c r="M25" s="4"/>
      <c r="N25" s="32">
        <f t="shared" ref="N25:N36" si="15">IF(H25=0,0,L25/H25)</f>
        <v>-0.16615722687951598</v>
      </c>
      <c r="O25" s="10"/>
      <c r="P25" s="21">
        <f>SUM(OSRRefP22x_0)</f>
        <v>802041.89000000013</v>
      </c>
      <c r="Q25" s="21"/>
      <c r="R25" s="32">
        <f t="shared" ref="R25:R36" si="16">IF(P$12=0,0,P25/P$12)</f>
        <v>0.39424016786636407</v>
      </c>
      <c r="S25" s="21"/>
      <c r="T25" s="21">
        <f>SUM(OSRRefT22x_0)</f>
        <v>957535.72732999979</v>
      </c>
      <c r="U25" s="21"/>
      <c r="V25" s="32">
        <f t="shared" ref="V25:V36" si="17">IF(T$12=0,0,T25/T$12)</f>
        <v>0.52774235412808634</v>
      </c>
      <c r="W25" s="4"/>
      <c r="X25" s="21">
        <f t="shared" ref="X25:X36" si="18">+P25-T25</f>
        <v>-155493.83732999966</v>
      </c>
      <c r="Y25" s="4"/>
      <c r="Z25" s="32">
        <f t="shared" ref="Z25:Z36" si="19">IF(T25=0,0,X25/T25)</f>
        <v>-0.16238959329860192</v>
      </c>
    </row>
    <row r="26" spans="1:26" s="28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28148.400000000001</v>
      </c>
      <c r="E26" s="1"/>
      <c r="F26" s="5">
        <f t="shared" si="12"/>
        <v>9.0615919382465854E-2</v>
      </c>
      <c r="G26" s="1"/>
      <c r="H26" s="1">
        <f>SUM(OSRRefH22_0x_0)</f>
        <v>33585.000358461526</v>
      </c>
      <c r="I26" s="1"/>
      <c r="J26" s="5">
        <f t="shared" si="13"/>
        <v>9.4234007739791043E-2</v>
      </c>
      <c r="K26" s="1"/>
      <c r="L26" s="1">
        <f t="shared" si="14"/>
        <v>-5436.6003584615246</v>
      </c>
      <c r="M26" s="1"/>
      <c r="N26" s="5">
        <f t="shared" si="15"/>
        <v>-0.16187584637294214</v>
      </c>
      <c r="O26" s="14"/>
      <c r="P26" s="1">
        <f>SUM(OSRRefP22_0x_0)</f>
        <v>154221.19999999998</v>
      </c>
      <c r="Q26" s="1"/>
      <c r="R26" s="5">
        <f t="shared" si="16"/>
        <v>7.5806753406049768E-2</v>
      </c>
      <c r="S26" s="1"/>
      <c r="T26" s="1">
        <f>SUM(OSRRefT22_0x_0)</f>
        <v>209517.98733</v>
      </c>
      <c r="U26" s="1"/>
      <c r="V26" s="5">
        <f t="shared" si="17"/>
        <v>0.11547508120039683</v>
      </c>
      <c r="W26" s="1"/>
      <c r="X26" s="1">
        <f t="shared" si="18"/>
        <v>-55296.787330000021</v>
      </c>
      <c r="Y26" s="1"/>
      <c r="Z26" s="5">
        <f t="shared" si="19"/>
        <v>-0.26392381883138827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6">
        <v>3483.8</v>
      </c>
      <c r="E27" s="2"/>
      <c r="F27" s="7">
        <f t="shared" si="12"/>
        <v>1.1215121994309962E-2</v>
      </c>
      <c r="G27" s="2"/>
      <c r="H27" s="6">
        <v>4776.19020461538</v>
      </c>
      <c r="I27" s="2"/>
      <c r="J27" s="7">
        <f t="shared" si="13"/>
        <v>1.3401207083657071E-2</v>
      </c>
      <c r="K27" s="2"/>
      <c r="L27" s="6">
        <f t="shared" si="14"/>
        <v>-1292.3902046153798</v>
      </c>
      <c r="M27" s="2"/>
      <c r="N27" s="7">
        <f t="shared" si="15"/>
        <v>-0.27059018783768352</v>
      </c>
      <c r="O27" s="11"/>
      <c r="P27" s="6">
        <v>20361.490000000002</v>
      </c>
      <c r="Q27" s="2"/>
      <c r="R27" s="7">
        <f t="shared" si="16"/>
        <v>1.0008600966726679E-2</v>
      </c>
      <c r="S27" s="2"/>
      <c r="T27" s="6">
        <v>29093.72133</v>
      </c>
      <c r="U27" s="2"/>
      <c r="V27" s="7">
        <f t="shared" si="17"/>
        <v>1.6034899322089947E-2</v>
      </c>
      <c r="W27" s="2"/>
      <c r="X27" s="6">
        <f t="shared" si="18"/>
        <v>-8732.2313299999987</v>
      </c>
      <c r="Y27" s="2"/>
      <c r="Z27" s="7">
        <f t="shared" si="19"/>
        <v>-0.30014143708030072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2427.11</v>
      </c>
      <c r="E28" s="2"/>
      <c r="F28" s="7">
        <f t="shared" si="12"/>
        <v>7.8134033938830165E-3</v>
      </c>
      <c r="G28" s="2"/>
      <c r="H28" s="6">
        <v>3028.56567692308</v>
      </c>
      <c r="I28" s="2"/>
      <c r="J28" s="7">
        <f t="shared" si="13"/>
        <v>8.4976590261590344E-3</v>
      </c>
      <c r="K28" s="2"/>
      <c r="L28" s="6">
        <f t="shared" si="14"/>
        <v>-601.45567692307986</v>
      </c>
      <c r="M28" s="2"/>
      <c r="N28" s="7">
        <f t="shared" si="15"/>
        <v>-0.19859423274391014</v>
      </c>
      <c r="O28" s="11"/>
      <c r="P28" s="6">
        <v>12619.48</v>
      </c>
      <c r="Q28" s="2"/>
      <c r="R28" s="7">
        <f t="shared" si="16"/>
        <v>6.2030499598795556E-3</v>
      </c>
      <c r="S28" s="2"/>
      <c r="T28" s="6">
        <v>17591.7019</v>
      </c>
      <c r="U28" s="2"/>
      <c r="V28" s="7">
        <f t="shared" si="17"/>
        <v>9.6956028990299817E-3</v>
      </c>
      <c r="W28" s="2"/>
      <c r="X28" s="6">
        <f t="shared" si="18"/>
        <v>-4972.2219000000005</v>
      </c>
      <c r="Y28" s="2"/>
      <c r="Z28" s="7">
        <f t="shared" si="19"/>
        <v>-0.28264587066473656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6">
        <v>15064.3</v>
      </c>
      <c r="E29" s="2"/>
      <c r="F29" s="7">
        <f t="shared" si="12"/>
        <v>4.8495310367668507E-2</v>
      </c>
      <c r="G29" s="2"/>
      <c r="H29" s="6">
        <v>20158.384615384599</v>
      </c>
      <c r="I29" s="2"/>
      <c r="J29" s="7">
        <f t="shared" si="13"/>
        <v>5.6561124061124013E-2</v>
      </c>
      <c r="K29" s="2"/>
      <c r="L29" s="6">
        <f t="shared" si="14"/>
        <v>-5094.0846153845996</v>
      </c>
      <c r="M29" s="2"/>
      <c r="N29" s="7">
        <f t="shared" si="15"/>
        <v>-0.25270301725947153</v>
      </c>
      <c r="O29" s="11"/>
      <c r="P29" s="6">
        <v>79528.149999999994</v>
      </c>
      <c r="Q29" s="2"/>
      <c r="R29" s="7">
        <f t="shared" si="16"/>
        <v>3.9091712785851343E-2</v>
      </c>
      <c r="S29" s="2"/>
      <c r="T29" s="6">
        <v>128064</v>
      </c>
      <c r="U29" s="2"/>
      <c r="V29" s="7">
        <f t="shared" si="17"/>
        <v>7.0582010582010579E-2</v>
      </c>
      <c r="W29" s="2"/>
      <c r="X29" s="6">
        <f t="shared" si="18"/>
        <v>-48535.850000000006</v>
      </c>
      <c r="Y29" s="2"/>
      <c r="Z29" s="7">
        <f t="shared" si="19"/>
        <v>-0.37899682971014498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175.29</v>
      </c>
      <c r="E30" s="2"/>
      <c r="F30" s="7">
        <f t="shared" si="12"/>
        <v>5.6429724277587488E-4</v>
      </c>
      <c r="G30" s="2"/>
      <c r="H30" s="6">
        <v>167.809707692308</v>
      </c>
      <c r="I30" s="2"/>
      <c r="J30" s="7">
        <f t="shared" si="13"/>
        <v>4.7084654234654319E-4</v>
      </c>
      <c r="K30" s="2"/>
      <c r="L30" s="6">
        <f t="shared" si="14"/>
        <v>7.4802923076919967</v>
      </c>
      <c r="M30" s="2"/>
      <c r="N30" s="7">
        <f t="shared" si="15"/>
        <v>4.4576040388603071E-2</v>
      </c>
      <c r="O30" s="11"/>
      <c r="P30" s="6">
        <v>911.42</v>
      </c>
      <c r="Q30" s="2"/>
      <c r="R30" s="7">
        <f t="shared" si="16"/>
        <v>4.4800449736704084E-4</v>
      </c>
      <c r="S30" s="2"/>
      <c r="T30" s="6">
        <v>974.73810000000196</v>
      </c>
      <c r="U30" s="2"/>
      <c r="V30" s="7">
        <f t="shared" si="17"/>
        <v>5.3722337962963066E-4</v>
      </c>
      <c r="W30" s="2"/>
      <c r="X30" s="6">
        <f t="shared" si="18"/>
        <v>-63.318100000002005</v>
      </c>
      <c r="Y30" s="2"/>
      <c r="Z30" s="7">
        <f t="shared" si="19"/>
        <v>-6.4959090036597403E-2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6">
        <v>1479.97</v>
      </c>
      <c r="E31" s="2"/>
      <c r="F31" s="7">
        <f t="shared" si="12"/>
        <v>4.7643504500599673E-3</v>
      </c>
      <c r="G31" s="2"/>
      <c r="H31" s="6">
        <v>1246.0870769230801</v>
      </c>
      <c r="I31" s="2"/>
      <c r="J31" s="7">
        <f t="shared" si="13"/>
        <v>3.4963161529828284E-3</v>
      </c>
      <c r="K31" s="2"/>
      <c r="L31" s="6">
        <f t="shared" si="14"/>
        <v>233.88292307691995</v>
      </c>
      <c r="M31" s="2"/>
      <c r="N31" s="7">
        <f t="shared" si="15"/>
        <v>0.18769388384513144</v>
      </c>
      <c r="O31" s="11"/>
      <c r="P31" s="6">
        <v>8144.86</v>
      </c>
      <c r="Q31" s="2"/>
      <c r="R31" s="7">
        <f t="shared" si="16"/>
        <v>4.0035701547309873E-3</v>
      </c>
      <c r="S31" s="2"/>
      <c r="T31" s="6">
        <v>8099.5660000000198</v>
      </c>
      <c r="U31" s="2"/>
      <c r="V31" s="7">
        <f t="shared" si="17"/>
        <v>4.4640465167548613E-3</v>
      </c>
      <c r="W31" s="2"/>
      <c r="X31" s="6">
        <f t="shared" si="18"/>
        <v>45.29399999997986</v>
      </c>
      <c r="Y31" s="2"/>
      <c r="Z31" s="7">
        <f t="shared" si="19"/>
        <v>5.592151480706466E-3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"6117", " - ", "RETIREMENT STAFF HOURLY")</f>
        <v xml:space="preserve">          6117 - RETIREMENT STAFF HOURLY</v>
      </c>
      <c r="C33" s="11"/>
      <c r="D33" s="6">
        <v>587.01</v>
      </c>
      <c r="E33" s="2"/>
      <c r="F33" s="7">
        <f t="shared" si="12"/>
        <v>1.8897148980652994E-3</v>
      </c>
      <c r="G33" s="2"/>
      <c r="H33" s="6"/>
      <c r="I33" s="2"/>
      <c r="J33" s="7">
        <f t="shared" si="13"/>
        <v>0</v>
      </c>
      <c r="K33" s="2"/>
      <c r="L33" s="6">
        <f t="shared" si="14"/>
        <v>587.01</v>
      </c>
      <c r="M33" s="2"/>
      <c r="N33" s="7">
        <f t="shared" si="15"/>
        <v>0</v>
      </c>
      <c r="O33" s="11"/>
      <c r="P33" s="6">
        <v>2882.2</v>
      </c>
      <c r="Q33" s="2"/>
      <c r="R33" s="7">
        <f t="shared" si="16"/>
        <v>1.4167327492388636E-3</v>
      </c>
      <c r="S33" s="2"/>
      <c r="T33" s="6"/>
      <c r="U33" s="2"/>
      <c r="V33" s="7">
        <f t="shared" si="17"/>
        <v>0</v>
      </c>
      <c r="W33" s="2"/>
      <c r="X33" s="6">
        <f t="shared" si="18"/>
        <v>2882.2</v>
      </c>
      <c r="Y33" s="2"/>
      <c r="Z33" s="7">
        <f t="shared" si="19"/>
        <v>0</v>
      </c>
    </row>
    <row r="34" spans="1:26" s="24" customFormat="1" hidden="1" outlineLevel="2" x14ac:dyDescent="0.3">
      <c r="A34" s="29"/>
      <c r="B34" s="11" t="str">
        <f>CONCATENATE("          ", "6118", " - ", "VACATION")</f>
        <v xml:space="preserve">          6118 - VACATION</v>
      </c>
      <c r="C34" s="11"/>
      <c r="D34" s="6">
        <v>1986.56</v>
      </c>
      <c r="E34" s="2"/>
      <c r="F34" s="7">
        <f t="shared" si="12"/>
        <v>6.3951755982020768E-3</v>
      </c>
      <c r="G34" s="2"/>
      <c r="H34" s="6">
        <v>1810.68153846154</v>
      </c>
      <c r="I34" s="2"/>
      <c r="J34" s="7">
        <f t="shared" si="13"/>
        <v>5.0804756971423682E-3</v>
      </c>
      <c r="K34" s="2"/>
      <c r="L34" s="6">
        <f t="shared" si="14"/>
        <v>175.87846153845999</v>
      </c>
      <c r="M34" s="2"/>
      <c r="N34" s="7">
        <f t="shared" si="15"/>
        <v>9.7133845904176244E-2</v>
      </c>
      <c r="O34" s="11"/>
      <c r="P34" s="6">
        <v>12870.98</v>
      </c>
      <c r="Q34" s="2"/>
      <c r="R34" s="7">
        <f t="shared" si="16"/>
        <v>6.3266736801049304E-3</v>
      </c>
      <c r="S34" s="2"/>
      <c r="T34" s="6">
        <v>11769.43</v>
      </c>
      <c r="U34" s="2"/>
      <c r="V34" s="7">
        <f t="shared" si="17"/>
        <v>6.4866787918871254E-3</v>
      </c>
      <c r="W34" s="2"/>
      <c r="X34" s="6">
        <f t="shared" si="18"/>
        <v>1101.5499999999993</v>
      </c>
      <c r="Y34" s="2"/>
      <c r="Z34" s="7">
        <f t="shared" si="19"/>
        <v>9.3594167262135819E-2</v>
      </c>
    </row>
    <row r="35" spans="1:26" s="24" customFormat="1" hidden="1" outlineLevel="2" x14ac:dyDescent="0.3">
      <c r="A35" s="29"/>
      <c r="B35" s="11" t="str">
        <f>CONCATENATE("          ", "6119", " - ", "SICK LEAVE")</f>
        <v xml:space="preserve">          6119 - SICK LEAVE</v>
      </c>
      <c r="C35" s="11"/>
      <c r="D35" s="6">
        <v>1649.06</v>
      </c>
      <c r="E35" s="2"/>
      <c r="F35" s="7">
        <f t="shared" si="12"/>
        <v>5.3086885228591724E-3</v>
      </c>
      <c r="G35" s="2"/>
      <c r="H35" s="6">
        <v>2397.2815384615401</v>
      </c>
      <c r="I35" s="2"/>
      <c r="J35" s="7">
        <f t="shared" si="13"/>
        <v>6.7263791763791806E-3</v>
      </c>
      <c r="K35" s="2"/>
      <c r="L35" s="6">
        <f t="shared" si="14"/>
        <v>-748.22153846154015</v>
      </c>
      <c r="M35" s="2"/>
      <c r="N35" s="7">
        <f t="shared" si="15"/>
        <v>-0.31211250178888572</v>
      </c>
      <c r="O35" s="11"/>
      <c r="P35" s="6">
        <v>9750.27</v>
      </c>
      <c r="Q35" s="2"/>
      <c r="R35" s="7">
        <f t="shared" si="16"/>
        <v>4.7927023880789737E-3</v>
      </c>
      <c r="S35" s="2"/>
      <c r="T35" s="6">
        <v>13924.83</v>
      </c>
      <c r="U35" s="2"/>
      <c r="V35" s="7">
        <f t="shared" si="17"/>
        <v>7.674619708994709E-3</v>
      </c>
      <c r="W35" s="2"/>
      <c r="X35" s="6">
        <f t="shared" si="18"/>
        <v>-4174.5599999999995</v>
      </c>
      <c r="Y35" s="2"/>
      <c r="Z35" s="7">
        <f t="shared" si="19"/>
        <v>-0.29979252888545133</v>
      </c>
    </row>
    <row r="36" spans="1:26" s="24" customFormat="1" hidden="1" outlineLevel="2" x14ac:dyDescent="0.3">
      <c r="A36" s="29"/>
      <c r="B36" s="11" t="str">
        <f>CONCATENATE("          ", "6156", " - ", "EMPLOYEE MEALS")</f>
        <v xml:space="preserve">          6156 - EMPLOYEE MEALS</v>
      </c>
      <c r="C36" s="11"/>
      <c r="D36" s="6">
        <v>1295.3</v>
      </c>
      <c r="E36" s="2"/>
      <c r="F36" s="7">
        <f t="shared" si="12"/>
        <v>4.1698569146419694E-3</v>
      </c>
      <c r="G36" s="2"/>
      <c r="H36" s="6"/>
      <c r="I36" s="2"/>
      <c r="J36" s="7">
        <f t="shared" si="13"/>
        <v>0</v>
      </c>
      <c r="K36" s="2"/>
      <c r="L36" s="6">
        <f t="shared" si="14"/>
        <v>1295.3</v>
      </c>
      <c r="M36" s="2"/>
      <c r="N36" s="7">
        <f t="shared" si="15"/>
        <v>0</v>
      </c>
      <c r="O36" s="11"/>
      <c r="P36" s="6">
        <v>7152.35</v>
      </c>
      <c r="Q36" s="2"/>
      <c r="R36" s="7">
        <f t="shared" si="16"/>
        <v>3.5157062240713994E-3</v>
      </c>
      <c r="S36" s="2"/>
      <c r="T36" s="6"/>
      <c r="U36" s="2"/>
      <c r="V36" s="7">
        <f t="shared" si="17"/>
        <v>0</v>
      </c>
      <c r="W36" s="2"/>
      <c r="X36" s="6">
        <f t="shared" si="18"/>
        <v>7152.35</v>
      </c>
      <c r="Y36" s="2"/>
      <c r="Z36" s="7">
        <f t="shared" si="19"/>
        <v>0</v>
      </c>
    </row>
    <row r="37" spans="1:26" s="28" customFormat="1" outlineLevel="1" collapsed="1" x14ac:dyDescent="0.3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72762.149999999994</v>
      </c>
      <c r="E37" s="1"/>
      <c r="F37" s="5">
        <f t="shared" ref="F37:F47" si="20">IF(D$12=0,0,D37/D$12)</f>
        <v>0.23423743866418292</v>
      </c>
      <c r="G37" s="1"/>
      <c r="H37" s="1">
        <f>SUM(OSRRefH22_1x_0)</f>
        <v>76838.421538461494</v>
      </c>
      <c r="I37" s="1"/>
      <c r="J37" s="5">
        <f t="shared" ref="J37:J47" si="21">IF(H$12=0,0,H37/H$12)</f>
        <v>0.21559602002935324</v>
      </c>
      <c r="K37" s="1"/>
      <c r="L37" s="1">
        <f t="shared" ref="L37:L47" si="22">+D37-H37</f>
        <v>-4076.2715384615003</v>
      </c>
      <c r="M37" s="1"/>
      <c r="N37" s="5">
        <f t="shared" ref="N37:N47" si="23">IF(H37=0,0,L37/H37)</f>
        <v>-5.3049912489692694E-2</v>
      </c>
      <c r="O37" s="14"/>
      <c r="P37" s="1">
        <f>SUM(OSRRefP22_1x_0)</f>
        <v>375946.2</v>
      </c>
      <c r="Q37" s="1"/>
      <c r="R37" s="5">
        <f t="shared" ref="R37:R47" si="24">IF(P$12=0,0,P37/P$12)</f>
        <v>0.18479470317531876</v>
      </c>
      <c r="S37" s="1"/>
      <c r="T37" s="1">
        <f>SUM(OSRRefT22_1x_0)</f>
        <v>444199.73999999976</v>
      </c>
      <c r="U37" s="1"/>
      <c r="V37" s="5">
        <f t="shared" ref="V37:V47" si="25">IF(T$12=0,0,T37/T$12)</f>
        <v>0.24481908068783056</v>
      </c>
      <c r="W37" s="1"/>
      <c r="X37" s="1">
        <f t="shared" ref="X37:X47" si="26">+P37-T37</f>
        <v>-68253.539999999746</v>
      </c>
      <c r="Y37" s="1"/>
      <c r="Z37" s="5">
        <f t="shared" ref="Z37:Z47" si="27">IF(T37=0,0,X37/T37)</f>
        <v>-0.15365506517405836</v>
      </c>
    </row>
    <row r="38" spans="1:26" s="24" customFormat="1" hidden="1" outlineLevel="2" x14ac:dyDescent="0.3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"6002", " - ", "STAFF SALARIES")</f>
        <v xml:space="preserve">          6002 - STAFF SALARIES</v>
      </c>
      <c r="C39" s="11"/>
      <c r="D39" s="6">
        <v>14311.48</v>
      </c>
      <c r="E39" s="2"/>
      <c r="F39" s="7">
        <f t="shared" si="20"/>
        <v>4.6071816441565855E-2</v>
      </c>
      <c r="G39" s="2"/>
      <c r="H39" s="6">
        <v>13620.0215384615</v>
      </c>
      <c r="I39" s="2"/>
      <c r="J39" s="7">
        <f t="shared" si="21"/>
        <v>3.8215548648881874E-2</v>
      </c>
      <c r="K39" s="2"/>
      <c r="L39" s="6">
        <f t="shared" si="22"/>
        <v>691.45846153849925</v>
      </c>
      <c r="M39" s="2"/>
      <c r="N39" s="7">
        <f t="shared" si="23"/>
        <v>5.0767795013091109E-2</v>
      </c>
      <c r="O39" s="11"/>
      <c r="P39" s="6">
        <v>85787.72</v>
      </c>
      <c r="Q39" s="2"/>
      <c r="R39" s="7">
        <f t="shared" si="24"/>
        <v>4.2168576922674991E-2</v>
      </c>
      <c r="S39" s="2"/>
      <c r="T39" s="6">
        <v>88530.139999999796</v>
      </c>
      <c r="U39" s="2"/>
      <c r="V39" s="7">
        <f t="shared" si="25"/>
        <v>4.8793066578483132E-2</v>
      </c>
      <c r="W39" s="2"/>
      <c r="X39" s="6">
        <f t="shared" si="26"/>
        <v>-2742.4199999997945</v>
      </c>
      <c r="Y39" s="2"/>
      <c r="Z39" s="7">
        <f t="shared" si="27"/>
        <v>-3.0977246844970548E-2</v>
      </c>
    </row>
    <row r="40" spans="1:26" s="24" customFormat="1" hidden="1" outlineLevel="2" x14ac:dyDescent="0.3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"6004", " - ", "STAFF HOURLY")</f>
        <v xml:space="preserve">          6004 - STAFF HOURLY</v>
      </c>
      <c r="C41" s="11"/>
      <c r="D41" s="6">
        <v>21410.66</v>
      </c>
      <c r="E41" s="2"/>
      <c r="F41" s="7">
        <f t="shared" si="20"/>
        <v>6.8925645524626128E-2</v>
      </c>
      <c r="G41" s="2"/>
      <c r="H41" s="6">
        <v>45718.400000000001</v>
      </c>
      <c r="I41" s="2"/>
      <c r="J41" s="7">
        <f t="shared" si="21"/>
        <v>0.12827833894500562</v>
      </c>
      <c r="K41" s="2"/>
      <c r="L41" s="6">
        <f t="shared" si="22"/>
        <v>-24307.74</v>
      </c>
      <c r="M41" s="2"/>
      <c r="N41" s="7">
        <f t="shared" si="23"/>
        <v>-0.53168396094351511</v>
      </c>
      <c r="O41" s="11"/>
      <c r="P41" s="6">
        <v>130215.93</v>
      </c>
      <c r="Q41" s="2"/>
      <c r="R41" s="7">
        <f t="shared" si="24"/>
        <v>6.4007068386508714E-2</v>
      </c>
      <c r="S41" s="2"/>
      <c r="T41" s="6">
        <v>271669.59999999998</v>
      </c>
      <c r="U41" s="2"/>
      <c r="V41" s="7">
        <f t="shared" si="25"/>
        <v>0.14972971781305114</v>
      </c>
      <c r="W41" s="2"/>
      <c r="X41" s="6">
        <f t="shared" si="26"/>
        <v>-141453.66999999998</v>
      </c>
      <c r="Y41" s="2"/>
      <c r="Z41" s="7">
        <f t="shared" si="27"/>
        <v>-0.52068273373244556</v>
      </c>
    </row>
    <row r="42" spans="1:26" s="24" customFormat="1" hidden="1" outlineLevel="2" x14ac:dyDescent="0.3">
      <c r="A42" s="29"/>
      <c r="B42" s="11" t="str">
        <f>CONCATENATE("          ", "6005", " - ", "TEMPORARY WAGES-HOURLY")</f>
        <v xml:space="preserve">          6005 - TEMPORARY WAGES-HOURLY</v>
      </c>
      <c r="C42" s="11"/>
      <c r="D42" s="6">
        <v>13574.24</v>
      </c>
      <c r="E42" s="2"/>
      <c r="F42" s="7">
        <f t="shared" si="20"/>
        <v>4.369847797808199E-2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13574.24</v>
      </c>
      <c r="M42" s="2"/>
      <c r="N42" s="7">
        <f t="shared" si="23"/>
        <v>0</v>
      </c>
      <c r="O42" s="11"/>
      <c r="P42" s="6">
        <v>67122.48</v>
      </c>
      <c r="Q42" s="2"/>
      <c r="R42" s="7">
        <f t="shared" si="24"/>
        <v>3.2993760192259608E-2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67122.48</v>
      </c>
      <c r="Y42" s="2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"6007", " - ", "STUDENT HOURLY")</f>
        <v xml:space="preserve">          6007 - STUDENT HOURLY</v>
      </c>
      <c r="C44" s="11"/>
      <c r="D44" s="6">
        <v>15272.48</v>
      </c>
      <c r="E44" s="2"/>
      <c r="F44" s="7">
        <f t="shared" si="20"/>
        <v>4.9165487787949651E-2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15272.48</v>
      </c>
      <c r="M44" s="2"/>
      <c r="N44" s="7">
        <f t="shared" si="23"/>
        <v>0</v>
      </c>
      <c r="O44" s="11"/>
      <c r="P44" s="6">
        <v>74872.56</v>
      </c>
      <c r="Q44" s="2"/>
      <c r="R44" s="7">
        <f t="shared" si="24"/>
        <v>3.6803277972157301E-2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74872.56</v>
      </c>
      <c r="Y44" s="2"/>
      <c r="Z44" s="7">
        <f t="shared" si="27"/>
        <v>0</v>
      </c>
    </row>
    <row r="45" spans="1:26" s="24" customFormat="1" hidden="1" outlineLevel="2" x14ac:dyDescent="0.3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>
        <v>8193.2900000000009</v>
      </c>
      <c r="E45" s="2"/>
      <c r="F45" s="7">
        <f t="shared" si="20"/>
        <v>2.6376010931959317E-2</v>
      </c>
      <c r="G45" s="2"/>
      <c r="H45" s="6">
        <v>17500</v>
      </c>
      <c r="I45" s="2"/>
      <c r="J45" s="7">
        <f t="shared" si="21"/>
        <v>4.9102132435465767E-2</v>
      </c>
      <c r="K45" s="2"/>
      <c r="L45" s="6">
        <f t="shared" si="22"/>
        <v>-9306.7099999999991</v>
      </c>
      <c r="M45" s="2"/>
      <c r="N45" s="7">
        <f t="shared" si="23"/>
        <v>-0.53181199999999995</v>
      </c>
      <c r="O45" s="11"/>
      <c r="P45" s="6">
        <v>17947.509999999998</v>
      </c>
      <c r="Q45" s="2"/>
      <c r="R45" s="7">
        <f t="shared" si="24"/>
        <v>8.8220197017181319E-3</v>
      </c>
      <c r="S45" s="2"/>
      <c r="T45" s="6">
        <v>84000</v>
      </c>
      <c r="U45" s="2"/>
      <c r="V45" s="7">
        <f t="shared" si="25"/>
        <v>4.6296296296296294E-2</v>
      </c>
      <c r="W45" s="2"/>
      <c r="X45" s="6">
        <f t="shared" si="26"/>
        <v>-66052.490000000005</v>
      </c>
      <c r="Y45" s="2"/>
      <c r="Z45" s="7">
        <f t="shared" si="27"/>
        <v>-0.7863391666666667</v>
      </c>
    </row>
    <row r="46" spans="1:26" s="24" customFormat="1" hidden="1" outlineLevel="2" x14ac:dyDescent="0.3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68.040000000000006</v>
      </c>
      <c r="E48" s="1"/>
      <c r="F48" s="5">
        <f t="shared" ref="F48:F69" si="28">IF(D$12=0,0,D48/D$12)</f>
        <v>2.1903579438912964E-4</v>
      </c>
      <c r="G48" s="1"/>
      <c r="H48" s="1">
        <f>SUM(OSRRefH22_2x_0)</f>
        <v>600</v>
      </c>
      <c r="I48" s="1"/>
      <c r="J48" s="5">
        <f t="shared" ref="J48:J69" si="29">IF(H$12=0,0,H48/H$12)</f>
        <v>1.6835016835016834E-3</v>
      </c>
      <c r="K48" s="1"/>
      <c r="L48" s="1">
        <f t="shared" ref="L48:L69" si="30">+D48-H48</f>
        <v>-531.96</v>
      </c>
      <c r="M48" s="1"/>
      <c r="N48" s="5">
        <f t="shared" ref="N48:N69" si="31">IF(H48=0,0,L48/H48)</f>
        <v>-0.88660000000000005</v>
      </c>
      <c r="O48" s="14"/>
      <c r="P48" s="1">
        <f>SUM(OSRRefP22_2x_0)</f>
        <v>1205.8900000000001</v>
      </c>
      <c r="Q48" s="1"/>
      <c r="R48" s="5">
        <f t="shared" ref="R48:R69" si="32">IF(P$12=0,0,P48/P$12)</f>
        <v>5.927499323362895E-4</v>
      </c>
      <c r="S48" s="1"/>
      <c r="T48" s="1">
        <f>SUM(OSRRefT22_2x_0)</f>
        <v>3600</v>
      </c>
      <c r="U48" s="1"/>
      <c r="V48" s="5">
        <f t="shared" ref="V48:V69" si="33">IF(T$12=0,0,T48/T$12)</f>
        <v>1.984126984126984E-3</v>
      </c>
      <c r="W48" s="1"/>
      <c r="X48" s="1">
        <f t="shared" ref="X48:X69" si="34">+P48-T48</f>
        <v>-2394.1099999999997</v>
      </c>
      <c r="Y48" s="1"/>
      <c r="Z48" s="5">
        <f t="shared" ref="Z48:Z69" si="35">IF(T48=0,0,X48/T48)</f>
        <v>-0.66503055555555546</v>
      </c>
    </row>
    <row r="49" spans="1:26" s="24" customFormat="1" hidden="1" outlineLevel="2" x14ac:dyDescent="0.3">
      <c r="A49" s="29"/>
      <c r="B49" s="11" t="str">
        <f>CONCATENATE("          ", "6362", " - ", "ADVERTISING EXPENSE")</f>
        <v xml:space="preserve">          6362 - ADVERTISING EXPENSE</v>
      </c>
      <c r="C49" s="11"/>
      <c r="D49" s="6">
        <v>68.040000000000006</v>
      </c>
      <c r="E49" s="2"/>
      <c r="F49" s="7">
        <f t="shared" si="28"/>
        <v>2.1903579438912964E-4</v>
      </c>
      <c r="G49" s="2"/>
      <c r="H49" s="6">
        <v>600</v>
      </c>
      <c r="I49" s="2"/>
      <c r="J49" s="7">
        <f t="shared" si="29"/>
        <v>1.6835016835016834E-3</v>
      </c>
      <c r="K49" s="2"/>
      <c r="L49" s="6">
        <f t="shared" si="30"/>
        <v>-531.96</v>
      </c>
      <c r="M49" s="2"/>
      <c r="N49" s="7">
        <f t="shared" si="31"/>
        <v>-0.88660000000000005</v>
      </c>
      <c r="O49" s="11"/>
      <c r="P49" s="6">
        <v>1205.8900000000001</v>
      </c>
      <c r="Q49" s="2"/>
      <c r="R49" s="7">
        <f t="shared" si="32"/>
        <v>5.927499323362895E-4</v>
      </c>
      <c r="S49" s="2"/>
      <c r="T49" s="6">
        <v>3600</v>
      </c>
      <c r="U49" s="2"/>
      <c r="V49" s="7">
        <f t="shared" si="33"/>
        <v>1.984126984126984E-3</v>
      </c>
      <c r="W49" s="2"/>
      <c r="X49" s="6">
        <f t="shared" si="34"/>
        <v>-2394.1099999999997</v>
      </c>
      <c r="Y49" s="2"/>
      <c r="Z49" s="7">
        <f t="shared" si="35"/>
        <v>-0.66503055555555546</v>
      </c>
    </row>
    <row r="50" spans="1:26" s="28" customFormat="1" outlineLevel="1" collapsed="1" x14ac:dyDescent="0.3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15</v>
      </c>
      <c r="I50" s="1"/>
      <c r="J50" s="5">
        <f t="shared" si="29"/>
        <v>4.208754208754209E-5</v>
      </c>
      <c r="K50" s="1"/>
      <c r="L50" s="1">
        <f t="shared" si="30"/>
        <v>-15</v>
      </c>
      <c r="M50" s="1"/>
      <c r="N50" s="5">
        <f t="shared" si="31"/>
        <v>-1</v>
      </c>
      <c r="O50" s="14"/>
      <c r="P50" s="1">
        <f>SUM(OSRRefP22_3x_0)</f>
        <v>-23.9</v>
      </c>
      <c r="Q50" s="1"/>
      <c r="R50" s="5">
        <f t="shared" si="32"/>
        <v>-1.1747940013465006E-5</v>
      </c>
      <c r="S50" s="1"/>
      <c r="T50" s="1">
        <f>SUM(OSRRefT22_3x_0)</f>
        <v>90</v>
      </c>
      <c r="U50" s="1"/>
      <c r="V50" s="5">
        <f t="shared" si="33"/>
        <v>4.9603174603174603E-5</v>
      </c>
      <c r="W50" s="1"/>
      <c r="X50" s="1">
        <f t="shared" si="34"/>
        <v>-113.9</v>
      </c>
      <c r="Y50" s="1"/>
      <c r="Z50" s="5">
        <f t="shared" si="35"/>
        <v>-1.2655555555555555</v>
      </c>
    </row>
    <row r="51" spans="1:26" s="24" customFormat="1" hidden="1" outlineLevel="2" x14ac:dyDescent="0.3">
      <c r="A51" s="29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15</v>
      </c>
      <c r="I51" s="2"/>
      <c r="J51" s="7">
        <f t="shared" si="29"/>
        <v>4.208754208754209E-5</v>
      </c>
      <c r="K51" s="2"/>
      <c r="L51" s="6">
        <f t="shared" si="30"/>
        <v>-15</v>
      </c>
      <c r="M51" s="2"/>
      <c r="N51" s="7">
        <f t="shared" si="31"/>
        <v>-1</v>
      </c>
      <c r="O51" s="11"/>
      <c r="P51" s="6">
        <v>-23.9</v>
      </c>
      <c r="Q51" s="2"/>
      <c r="R51" s="7">
        <f t="shared" si="32"/>
        <v>-1.1747940013465006E-5</v>
      </c>
      <c r="S51" s="2"/>
      <c r="T51" s="6">
        <v>90</v>
      </c>
      <c r="U51" s="2"/>
      <c r="V51" s="7">
        <f t="shared" si="33"/>
        <v>4.9603174603174603E-5</v>
      </c>
      <c r="W51" s="2"/>
      <c r="X51" s="6">
        <f t="shared" si="34"/>
        <v>-113.9</v>
      </c>
      <c r="Y51" s="2"/>
      <c r="Z51" s="7">
        <f t="shared" si="35"/>
        <v>-1.2655555555555555</v>
      </c>
    </row>
    <row r="52" spans="1:26" s="28" customFormat="1" outlineLevel="1" collapsed="1" x14ac:dyDescent="0.3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68.28</v>
      </c>
      <c r="E52" s="1"/>
      <c r="F52" s="5">
        <f t="shared" si="28"/>
        <v>2.1980840742048458E-4</v>
      </c>
      <c r="G52" s="1"/>
      <c r="H52" s="1">
        <f>SUM(OSRRefH22_4x_0)</f>
        <v>250</v>
      </c>
      <c r="I52" s="1"/>
      <c r="J52" s="5">
        <f t="shared" si="29"/>
        <v>7.0145903479236808E-4</v>
      </c>
      <c r="K52" s="1"/>
      <c r="L52" s="1">
        <f t="shared" si="30"/>
        <v>-181.72</v>
      </c>
      <c r="M52" s="1"/>
      <c r="N52" s="5">
        <f t="shared" si="31"/>
        <v>-0.72687999999999997</v>
      </c>
      <c r="O52" s="14"/>
      <c r="P52" s="1">
        <f>SUM(OSRRefP22_4x_0)</f>
        <v>255.53</v>
      </c>
      <c r="Q52" s="1"/>
      <c r="R52" s="5">
        <f t="shared" si="32"/>
        <v>1.25604649022624E-4</v>
      </c>
      <c r="S52" s="1"/>
      <c r="T52" s="1">
        <f>SUM(OSRRefT22_4x_0)</f>
        <v>1500</v>
      </c>
      <c r="U52" s="1"/>
      <c r="V52" s="5">
        <f t="shared" si="33"/>
        <v>8.2671957671957667E-4</v>
      </c>
      <c r="W52" s="1"/>
      <c r="X52" s="1">
        <f t="shared" si="34"/>
        <v>-1244.47</v>
      </c>
      <c r="Y52" s="1"/>
      <c r="Z52" s="5">
        <f t="shared" si="35"/>
        <v>-0.82964666666666664</v>
      </c>
    </row>
    <row r="53" spans="1:26" s="24" customFormat="1" hidden="1" outlineLevel="2" x14ac:dyDescent="0.3">
      <c r="A53" s="29"/>
      <c r="B53" s="11" t="str">
        <f>CONCATENATE("          ", "6381", " - ", "BANK/CREDIT CARD FEES")</f>
        <v xml:space="preserve">          6381 - BANK/CREDIT CARD FEES</v>
      </c>
      <c r="C53" s="11"/>
      <c r="D53" s="6">
        <v>68.28</v>
      </c>
      <c r="E53" s="2"/>
      <c r="F53" s="7">
        <f t="shared" si="28"/>
        <v>2.1980840742048458E-4</v>
      </c>
      <c r="G53" s="2"/>
      <c r="H53" s="6">
        <v>250</v>
      </c>
      <c r="I53" s="2"/>
      <c r="J53" s="7">
        <f t="shared" si="29"/>
        <v>7.0145903479236808E-4</v>
      </c>
      <c r="K53" s="2"/>
      <c r="L53" s="6">
        <f t="shared" si="30"/>
        <v>-181.72</v>
      </c>
      <c r="M53" s="2"/>
      <c r="N53" s="7">
        <f t="shared" si="31"/>
        <v>-0.72687999999999997</v>
      </c>
      <c r="O53" s="11"/>
      <c r="P53" s="6">
        <v>255.53</v>
      </c>
      <c r="Q53" s="2"/>
      <c r="R53" s="7">
        <f t="shared" si="32"/>
        <v>1.25604649022624E-4</v>
      </c>
      <c r="S53" s="2"/>
      <c r="T53" s="6">
        <v>1500</v>
      </c>
      <c r="U53" s="2"/>
      <c r="V53" s="7">
        <f t="shared" si="33"/>
        <v>8.2671957671957667E-4</v>
      </c>
      <c r="W53" s="2"/>
      <c r="X53" s="6">
        <f t="shared" si="34"/>
        <v>-1244.47</v>
      </c>
      <c r="Y53" s="2"/>
      <c r="Z53" s="7">
        <f t="shared" si="35"/>
        <v>-0.82964666666666664</v>
      </c>
    </row>
    <row r="54" spans="1:26" s="28" customFormat="1" outlineLevel="1" collapsed="1" x14ac:dyDescent="0.3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8.8048912585789011E-4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273.51</v>
      </c>
      <c r="M54" s="1"/>
      <c r="N54" s="5">
        <f t="shared" si="31"/>
        <v>0</v>
      </c>
      <c r="O54" s="14"/>
      <c r="P54" s="1">
        <f>SUM(OSRRefP22_5x_0)</f>
        <v>1641.06</v>
      </c>
      <c r="Q54" s="1"/>
      <c r="R54" s="5">
        <f t="shared" si="32"/>
        <v>8.0665583424673157E-4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1641.06</v>
      </c>
      <c r="Y54" s="1"/>
      <c r="Z54" s="5">
        <f t="shared" si="35"/>
        <v>0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273.51</v>
      </c>
      <c r="E55" s="2"/>
      <c r="F55" s="7">
        <f t="shared" si="28"/>
        <v>8.8048912585789011E-4</v>
      </c>
      <c r="G55" s="2"/>
      <c r="H55" s="6"/>
      <c r="I55" s="2"/>
      <c r="J55" s="7">
        <f t="shared" si="29"/>
        <v>0</v>
      </c>
      <c r="K55" s="2"/>
      <c r="L55" s="6">
        <f t="shared" si="30"/>
        <v>273.51</v>
      </c>
      <c r="M55" s="2"/>
      <c r="N55" s="7">
        <f t="shared" si="31"/>
        <v>0</v>
      </c>
      <c r="O55" s="11"/>
      <c r="P55" s="6">
        <v>1641.06</v>
      </c>
      <c r="Q55" s="2"/>
      <c r="R55" s="7">
        <f t="shared" si="32"/>
        <v>8.0665583424673157E-4</v>
      </c>
      <c r="S55" s="2"/>
      <c r="T55" s="6"/>
      <c r="U55" s="2"/>
      <c r="V55" s="7">
        <f t="shared" si="33"/>
        <v>0</v>
      </c>
      <c r="W55" s="2"/>
      <c r="X55" s="6">
        <f t="shared" si="34"/>
        <v>1641.06</v>
      </c>
      <c r="Y55" s="2"/>
      <c r="Z55" s="7">
        <f t="shared" si="35"/>
        <v>0</v>
      </c>
    </row>
    <row r="56" spans="1:26" s="28" customFormat="1" outlineLevel="1" collapsed="1" x14ac:dyDescent="0.3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1911.44</v>
      </c>
      <c r="E56" s="1"/>
      <c r="F56" s="5">
        <f t="shared" si="28"/>
        <v>6.1533477193879771E-3</v>
      </c>
      <c r="G56" s="1"/>
      <c r="H56" s="1">
        <f>SUM(OSRRefH22_6x_0)</f>
        <v>6000</v>
      </c>
      <c r="I56" s="1"/>
      <c r="J56" s="5">
        <f t="shared" si="29"/>
        <v>1.6835016835016835E-2</v>
      </c>
      <c r="K56" s="1"/>
      <c r="L56" s="1">
        <f t="shared" si="30"/>
        <v>-4088.56</v>
      </c>
      <c r="M56" s="1"/>
      <c r="N56" s="5">
        <f t="shared" si="31"/>
        <v>-0.68142666666666663</v>
      </c>
      <c r="O56" s="14"/>
      <c r="P56" s="1">
        <f>SUM(OSRRefP22_6x_0)</f>
        <v>18415</v>
      </c>
      <c r="Q56" s="1"/>
      <c r="R56" s="5">
        <f t="shared" si="32"/>
        <v>9.0518123576551514E-3</v>
      </c>
      <c r="S56" s="1"/>
      <c r="T56" s="1">
        <f>SUM(OSRRefT22_6x_0)</f>
        <v>30000</v>
      </c>
      <c r="U56" s="1"/>
      <c r="V56" s="5">
        <f t="shared" si="33"/>
        <v>1.6534391534391533E-2</v>
      </c>
      <c r="W56" s="1"/>
      <c r="X56" s="1">
        <f t="shared" si="34"/>
        <v>-11585</v>
      </c>
      <c r="Y56" s="1"/>
      <c r="Z56" s="5">
        <f t="shared" si="35"/>
        <v>-0.38616666666666666</v>
      </c>
    </row>
    <row r="57" spans="1:26" s="24" customFormat="1" hidden="1" outlineLevel="2" x14ac:dyDescent="0.3">
      <c r="A57" s="29"/>
      <c r="B57" s="11" t="str">
        <f>CONCATENATE("          ", "6399", " - ", "DONATION-ON CAMPUS")</f>
        <v xml:space="preserve">          6399 - DONATION-ON CAMPUS</v>
      </c>
      <c r="C57" s="11"/>
      <c r="D57" s="6">
        <v>1911.44</v>
      </c>
      <c r="E57" s="2"/>
      <c r="F57" s="7">
        <f t="shared" si="28"/>
        <v>6.1533477193879771E-3</v>
      </c>
      <c r="G57" s="2"/>
      <c r="H57" s="6">
        <v>6000</v>
      </c>
      <c r="I57" s="2"/>
      <c r="J57" s="7">
        <f t="shared" si="29"/>
        <v>1.6835016835016835E-2</v>
      </c>
      <c r="K57" s="2"/>
      <c r="L57" s="6">
        <f t="shared" si="30"/>
        <v>-4088.56</v>
      </c>
      <c r="M57" s="2"/>
      <c r="N57" s="7">
        <f t="shared" si="31"/>
        <v>-0.68142666666666663</v>
      </c>
      <c r="O57" s="11"/>
      <c r="P57" s="6">
        <v>18415</v>
      </c>
      <c r="Q57" s="2"/>
      <c r="R57" s="7">
        <f t="shared" si="32"/>
        <v>9.0518123576551514E-3</v>
      </c>
      <c r="S57" s="2"/>
      <c r="T57" s="6">
        <v>30000</v>
      </c>
      <c r="U57" s="2"/>
      <c r="V57" s="7">
        <f t="shared" si="33"/>
        <v>1.6534391534391533E-2</v>
      </c>
      <c r="W57" s="2"/>
      <c r="X57" s="6">
        <f t="shared" si="34"/>
        <v>-11585</v>
      </c>
      <c r="Y57" s="2"/>
      <c r="Z57" s="7">
        <f t="shared" si="35"/>
        <v>-0.38616666666666666</v>
      </c>
    </row>
    <row r="58" spans="1:26" s="28" customFormat="1" outlineLevel="1" collapsed="1" x14ac:dyDescent="0.3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8.4175084175084171E-4</v>
      </c>
      <c r="K58" s="1"/>
      <c r="L58" s="1">
        <f t="shared" si="30"/>
        <v>-300</v>
      </c>
      <c r="M58" s="1"/>
      <c r="N58" s="5">
        <f t="shared" si="31"/>
        <v>-1</v>
      </c>
      <c r="O58" s="14"/>
      <c r="P58" s="1">
        <f>SUM(OSRRefP22_7x_0)</f>
        <v>34.47</v>
      </c>
      <c r="Q58" s="1"/>
      <c r="R58" s="5">
        <f t="shared" si="32"/>
        <v>1.6943577082181541E-5</v>
      </c>
      <c r="S58" s="1"/>
      <c r="T58" s="1">
        <f>SUM(OSRRefT22_7x_0)</f>
        <v>500</v>
      </c>
      <c r="U58" s="1"/>
      <c r="V58" s="5">
        <f t="shared" si="33"/>
        <v>2.7557319223985889E-4</v>
      </c>
      <c r="W58" s="1"/>
      <c r="X58" s="1">
        <f t="shared" si="34"/>
        <v>-465.53</v>
      </c>
      <c r="Y58" s="1"/>
      <c r="Z58" s="5">
        <f t="shared" si="35"/>
        <v>-0.93106</v>
      </c>
    </row>
    <row r="59" spans="1:26" s="24" customFormat="1" hidden="1" outlineLevel="2" x14ac:dyDescent="0.3">
      <c r="A59" s="29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300</v>
      </c>
      <c r="I59" s="2"/>
      <c r="J59" s="7">
        <f t="shared" si="29"/>
        <v>8.4175084175084171E-4</v>
      </c>
      <c r="K59" s="2"/>
      <c r="L59" s="6">
        <f t="shared" si="30"/>
        <v>-300</v>
      </c>
      <c r="M59" s="2"/>
      <c r="N59" s="7">
        <f t="shared" si="31"/>
        <v>-1</v>
      </c>
      <c r="O59" s="11"/>
      <c r="P59" s="6">
        <v>34.47</v>
      </c>
      <c r="Q59" s="2"/>
      <c r="R59" s="7">
        <f t="shared" si="32"/>
        <v>1.6943577082181541E-5</v>
      </c>
      <c r="S59" s="2"/>
      <c r="T59" s="6">
        <v>500</v>
      </c>
      <c r="U59" s="2"/>
      <c r="V59" s="7">
        <f t="shared" si="33"/>
        <v>2.7557319223985889E-4</v>
      </c>
      <c r="W59" s="2"/>
      <c r="X59" s="6">
        <f t="shared" si="34"/>
        <v>-465.53</v>
      </c>
      <c r="Y59" s="2"/>
      <c r="Z59" s="7">
        <f t="shared" si="35"/>
        <v>-0.93106</v>
      </c>
    </row>
    <row r="60" spans="1:26" s="28" customFormat="1" outlineLevel="1" collapsed="1" x14ac:dyDescent="0.3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319.05</v>
      </c>
      <c r="E60" s="1"/>
      <c r="F60" s="5">
        <f t="shared" si="28"/>
        <v>1.0270924485574929E-3</v>
      </c>
      <c r="G60" s="1"/>
      <c r="H60" s="1">
        <f>SUM(OSRRefH22_8x_0)</f>
        <v>500</v>
      </c>
      <c r="I60" s="1"/>
      <c r="J60" s="5">
        <f t="shared" si="29"/>
        <v>1.4029180695847362E-3</v>
      </c>
      <c r="K60" s="1"/>
      <c r="L60" s="1">
        <f t="shared" si="30"/>
        <v>-180.95</v>
      </c>
      <c r="M60" s="1"/>
      <c r="N60" s="5">
        <f t="shared" si="31"/>
        <v>-0.3619</v>
      </c>
      <c r="O60" s="14"/>
      <c r="P60" s="1">
        <f>SUM(OSRRefP22_8x_0)</f>
        <v>6296.06</v>
      </c>
      <c r="Q60" s="1"/>
      <c r="R60" s="5">
        <f t="shared" si="32"/>
        <v>3.0948006360324897E-3</v>
      </c>
      <c r="S60" s="1"/>
      <c r="T60" s="1">
        <f>SUM(OSRRefT22_8x_0)</f>
        <v>3000</v>
      </c>
      <c r="U60" s="1"/>
      <c r="V60" s="5">
        <f t="shared" si="33"/>
        <v>1.6534391534391533E-3</v>
      </c>
      <c r="W60" s="1"/>
      <c r="X60" s="1">
        <f t="shared" si="34"/>
        <v>3296.0600000000004</v>
      </c>
      <c r="Y60" s="1"/>
      <c r="Z60" s="5">
        <f t="shared" si="35"/>
        <v>1.0986866666666668</v>
      </c>
    </row>
    <row r="61" spans="1:26" s="24" customFormat="1" hidden="1" outlineLevel="2" x14ac:dyDescent="0.3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319.05</v>
      </c>
      <c r="E61" s="2"/>
      <c r="F61" s="7">
        <f t="shared" si="28"/>
        <v>1.0270924485574929E-3</v>
      </c>
      <c r="G61" s="2"/>
      <c r="H61" s="6">
        <v>500</v>
      </c>
      <c r="I61" s="2"/>
      <c r="J61" s="7">
        <f t="shared" si="29"/>
        <v>1.4029180695847362E-3</v>
      </c>
      <c r="K61" s="2"/>
      <c r="L61" s="6">
        <f t="shared" si="30"/>
        <v>-180.95</v>
      </c>
      <c r="M61" s="2"/>
      <c r="N61" s="7">
        <f t="shared" si="31"/>
        <v>-0.3619</v>
      </c>
      <c r="O61" s="11"/>
      <c r="P61" s="6">
        <v>6296.06</v>
      </c>
      <c r="Q61" s="2"/>
      <c r="R61" s="7">
        <f t="shared" si="32"/>
        <v>3.0948006360324897E-3</v>
      </c>
      <c r="S61" s="2"/>
      <c r="T61" s="6">
        <v>3000</v>
      </c>
      <c r="U61" s="2"/>
      <c r="V61" s="7">
        <f t="shared" si="33"/>
        <v>1.6534391534391533E-3</v>
      </c>
      <c r="W61" s="2"/>
      <c r="X61" s="6">
        <f t="shared" si="34"/>
        <v>3296.0600000000004</v>
      </c>
      <c r="Y61" s="2"/>
      <c r="Z61" s="7">
        <f t="shared" si="35"/>
        <v>1.0986866666666668</v>
      </c>
    </row>
    <row r="62" spans="1:26" s="28" customFormat="1" outlineLevel="1" collapsed="1" x14ac:dyDescent="0.3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150</v>
      </c>
      <c r="I62" s="1"/>
      <c r="J62" s="5">
        <f t="shared" si="29"/>
        <v>4.2087542087542086E-4</v>
      </c>
      <c r="K62" s="1"/>
      <c r="L62" s="1">
        <f t="shared" si="30"/>
        <v>-150</v>
      </c>
      <c r="M62" s="1"/>
      <c r="N62" s="5">
        <f t="shared" si="31"/>
        <v>-1</v>
      </c>
      <c r="O62" s="14"/>
      <c r="P62" s="1">
        <f>SUM(OSRRefP22_9x_0)</f>
        <v>7677.62</v>
      </c>
      <c r="Q62" s="1"/>
      <c r="R62" s="5">
        <f t="shared" si="32"/>
        <v>3.7739003851957826E-3</v>
      </c>
      <c r="S62" s="1"/>
      <c r="T62" s="1">
        <f>SUM(OSRRefT22_9x_0)</f>
        <v>2550</v>
      </c>
      <c r="U62" s="1"/>
      <c r="V62" s="5">
        <f t="shared" si="33"/>
        <v>1.4054232804232803E-3</v>
      </c>
      <c r="W62" s="1"/>
      <c r="X62" s="1">
        <f t="shared" si="34"/>
        <v>5127.62</v>
      </c>
      <c r="Y62" s="1"/>
      <c r="Z62" s="5">
        <f t="shared" si="35"/>
        <v>2.0108313725490197</v>
      </c>
    </row>
    <row r="63" spans="1:26" s="24" customFormat="1" hidden="1" outlineLevel="2" x14ac:dyDescent="0.3">
      <c r="A63" s="29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150</v>
      </c>
      <c r="I63" s="2"/>
      <c r="J63" s="7">
        <f t="shared" si="29"/>
        <v>4.2087542087542086E-4</v>
      </c>
      <c r="K63" s="2"/>
      <c r="L63" s="6">
        <f t="shared" si="30"/>
        <v>-150</v>
      </c>
      <c r="M63" s="2"/>
      <c r="N63" s="7">
        <f t="shared" si="31"/>
        <v>-1</v>
      </c>
      <c r="O63" s="11"/>
      <c r="P63" s="6">
        <v>7677.62</v>
      </c>
      <c r="Q63" s="2"/>
      <c r="R63" s="7">
        <f t="shared" si="32"/>
        <v>3.7739003851957826E-3</v>
      </c>
      <c r="S63" s="2"/>
      <c r="T63" s="6">
        <v>2550</v>
      </c>
      <c r="U63" s="2"/>
      <c r="V63" s="7">
        <f t="shared" si="33"/>
        <v>1.4054232804232803E-3</v>
      </c>
      <c r="W63" s="2"/>
      <c r="X63" s="6">
        <f t="shared" si="34"/>
        <v>5127.62</v>
      </c>
      <c r="Y63" s="2"/>
      <c r="Z63" s="7">
        <f t="shared" si="35"/>
        <v>2.0108313725490197</v>
      </c>
    </row>
    <row r="64" spans="1:26" s="28" customFormat="1" outlineLevel="1" collapsed="1" x14ac:dyDescent="0.3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24667.119999999999</v>
      </c>
      <c r="E64" s="1"/>
      <c r="F64" s="5">
        <f t="shared" si="28"/>
        <v>7.9408909824985108E-2</v>
      </c>
      <c r="G64" s="1"/>
      <c r="H64" s="1">
        <f>SUM(OSRRefH22_10x_0)</f>
        <v>28512</v>
      </c>
      <c r="I64" s="1"/>
      <c r="J64" s="5">
        <f t="shared" si="29"/>
        <v>0.08</v>
      </c>
      <c r="K64" s="1"/>
      <c r="L64" s="1">
        <f t="shared" si="30"/>
        <v>-3844.880000000001</v>
      </c>
      <c r="M64" s="1"/>
      <c r="N64" s="5">
        <f t="shared" si="31"/>
        <v>-0.13485129068462406</v>
      </c>
      <c r="O64" s="14"/>
      <c r="P64" s="1">
        <f>SUM(OSRRefP22_10x_0)</f>
        <v>157678.63</v>
      </c>
      <c r="Q64" s="1"/>
      <c r="R64" s="5">
        <f t="shared" si="32"/>
        <v>7.7506237934951636E-2</v>
      </c>
      <c r="S64" s="1"/>
      <c r="T64" s="1">
        <f>SUM(OSRRefT22_10x_0)</f>
        <v>145152</v>
      </c>
      <c r="U64" s="1"/>
      <c r="V64" s="5">
        <f t="shared" si="33"/>
        <v>0.08</v>
      </c>
      <c r="W64" s="1"/>
      <c r="X64" s="1">
        <f t="shared" si="34"/>
        <v>12526.630000000005</v>
      </c>
      <c r="Y64" s="1"/>
      <c r="Z64" s="5">
        <f t="shared" si="35"/>
        <v>8.6300085427689632E-2</v>
      </c>
    </row>
    <row r="65" spans="1:26" s="24" customFormat="1" hidden="1" outlineLevel="2" x14ac:dyDescent="0.3">
      <c r="A65" s="29"/>
      <c r="B65" s="11" t="str">
        <f>CONCATENATE("          ", "6387", " - ", "COMMISSION DUE HOUSING")</f>
        <v xml:space="preserve">          6387 - COMMISSION DUE HOUSING</v>
      </c>
      <c r="C65" s="11"/>
      <c r="D65" s="6">
        <v>24667.119999999999</v>
      </c>
      <c r="E65" s="2"/>
      <c r="F65" s="7">
        <f t="shared" si="28"/>
        <v>7.9408909824985108E-2</v>
      </c>
      <c r="G65" s="2"/>
      <c r="H65" s="6">
        <v>28512</v>
      </c>
      <c r="I65" s="2"/>
      <c r="J65" s="7">
        <f t="shared" si="29"/>
        <v>0.08</v>
      </c>
      <c r="K65" s="2"/>
      <c r="L65" s="6">
        <f t="shared" si="30"/>
        <v>-3844.880000000001</v>
      </c>
      <c r="M65" s="2"/>
      <c r="N65" s="7">
        <f t="shared" si="31"/>
        <v>-0.13485129068462406</v>
      </c>
      <c r="O65" s="11"/>
      <c r="P65" s="6">
        <v>157678.63</v>
      </c>
      <c r="Q65" s="2"/>
      <c r="R65" s="7">
        <f t="shared" si="32"/>
        <v>7.7506237934951636E-2</v>
      </c>
      <c r="S65" s="2"/>
      <c r="T65" s="6">
        <v>145152</v>
      </c>
      <c r="U65" s="2"/>
      <c r="V65" s="7">
        <f t="shared" si="33"/>
        <v>0.08</v>
      </c>
      <c r="W65" s="2"/>
      <c r="X65" s="6">
        <f t="shared" si="34"/>
        <v>12526.630000000005</v>
      </c>
      <c r="Y65" s="2"/>
      <c r="Z65" s="7">
        <f t="shared" si="35"/>
        <v>8.6300085427689632E-2</v>
      </c>
    </row>
    <row r="66" spans="1:26" s="28" customFormat="1" outlineLevel="1" collapsed="1" x14ac:dyDescent="0.3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521.25</v>
      </c>
      <c r="E66" s="1"/>
      <c r="F66" s="5">
        <f t="shared" si="28"/>
        <v>1.6780189274740419E-3</v>
      </c>
      <c r="G66" s="1"/>
      <c r="H66" s="1">
        <f>SUM(OSRRefH22_11x_0)</f>
        <v>250</v>
      </c>
      <c r="I66" s="1"/>
      <c r="J66" s="5">
        <f t="shared" si="29"/>
        <v>7.0145903479236808E-4</v>
      </c>
      <c r="K66" s="1"/>
      <c r="L66" s="1">
        <f t="shared" si="30"/>
        <v>271.25</v>
      </c>
      <c r="M66" s="1"/>
      <c r="N66" s="5">
        <f t="shared" si="31"/>
        <v>1.085</v>
      </c>
      <c r="O66" s="14"/>
      <c r="P66" s="1">
        <f>SUM(OSRRefP22_11x_0)</f>
        <v>2545.0499999999997</v>
      </c>
      <c r="Q66" s="1"/>
      <c r="R66" s="5">
        <f t="shared" si="32"/>
        <v>1.2510081477518458E-3</v>
      </c>
      <c r="S66" s="1"/>
      <c r="T66" s="1">
        <f>SUM(OSRRefT22_11x_0)</f>
        <v>5100</v>
      </c>
      <c r="U66" s="1"/>
      <c r="V66" s="5">
        <f t="shared" si="33"/>
        <v>2.8108465608465607E-3</v>
      </c>
      <c r="W66" s="1"/>
      <c r="X66" s="1">
        <f t="shared" si="34"/>
        <v>-2554.9500000000003</v>
      </c>
      <c r="Y66" s="1"/>
      <c r="Z66" s="5">
        <f t="shared" si="35"/>
        <v>-0.50097058823529417</v>
      </c>
    </row>
    <row r="67" spans="1:26" s="24" customFormat="1" hidden="1" outlineLevel="2" x14ac:dyDescent="0.3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>
        <v>0</v>
      </c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/>
      <c r="Q67" s="2"/>
      <c r="R67" s="7">
        <f t="shared" si="32"/>
        <v>0</v>
      </c>
      <c r="S67" s="2"/>
      <c r="T67" s="6">
        <v>0</v>
      </c>
      <c r="U67" s="2"/>
      <c r="V67" s="7">
        <f t="shared" si="33"/>
        <v>0</v>
      </c>
      <c r="W67" s="2"/>
      <c r="X67" s="6">
        <f t="shared" si="34"/>
        <v>0</v>
      </c>
      <c r="Y67" s="2"/>
      <c r="Z67" s="7">
        <f t="shared" si="35"/>
        <v>0</v>
      </c>
    </row>
    <row r="68" spans="1:26" s="24" customFormat="1" hidden="1" outlineLevel="2" x14ac:dyDescent="0.3">
      <c r="A68" s="29"/>
      <c r="B68" s="11" t="str">
        <f>CONCATENATE("          ", "6373", " - ", "MAINTENANCE CONTRACTS")</f>
        <v xml:space="preserve">          6373 - MAINTENANCE CONTRACTS</v>
      </c>
      <c r="C68" s="11"/>
      <c r="D68" s="6">
        <v>87.37</v>
      </c>
      <c r="E68" s="2"/>
      <c r="F68" s="7">
        <f t="shared" si="28"/>
        <v>2.8126333562284329E-4</v>
      </c>
      <c r="G68" s="2"/>
      <c r="H68" s="6"/>
      <c r="I68" s="2"/>
      <c r="J68" s="7">
        <f t="shared" si="29"/>
        <v>0</v>
      </c>
      <c r="K68" s="2"/>
      <c r="L68" s="6">
        <f t="shared" si="30"/>
        <v>87.37</v>
      </c>
      <c r="M68" s="2"/>
      <c r="N68" s="7">
        <f t="shared" si="31"/>
        <v>0</v>
      </c>
      <c r="O68" s="11"/>
      <c r="P68" s="6">
        <v>190.2</v>
      </c>
      <c r="Q68" s="2"/>
      <c r="R68" s="7">
        <f t="shared" si="32"/>
        <v>9.3491974500462099E-5</v>
      </c>
      <c r="S68" s="2"/>
      <c r="T68" s="6">
        <v>3600</v>
      </c>
      <c r="U68" s="2"/>
      <c r="V68" s="7">
        <f t="shared" si="33"/>
        <v>1.984126984126984E-3</v>
      </c>
      <c r="W68" s="2"/>
      <c r="X68" s="6">
        <f t="shared" si="34"/>
        <v>-3409.8</v>
      </c>
      <c r="Y68" s="2"/>
      <c r="Z68" s="7">
        <f t="shared" si="35"/>
        <v>-0.94716666666666671</v>
      </c>
    </row>
    <row r="69" spans="1:26" s="24" customFormat="1" hidden="1" outlineLevel="2" x14ac:dyDescent="0.3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433.88</v>
      </c>
      <c r="E69" s="2"/>
      <c r="F69" s="7">
        <f t="shared" si="28"/>
        <v>1.3967555918511987E-3</v>
      </c>
      <c r="G69" s="2"/>
      <c r="H69" s="6">
        <v>250</v>
      </c>
      <c r="I69" s="2"/>
      <c r="J69" s="7">
        <f t="shared" si="29"/>
        <v>7.0145903479236808E-4</v>
      </c>
      <c r="K69" s="2"/>
      <c r="L69" s="6">
        <f t="shared" si="30"/>
        <v>183.88</v>
      </c>
      <c r="M69" s="2"/>
      <c r="N69" s="7">
        <f t="shared" si="31"/>
        <v>0.73551999999999995</v>
      </c>
      <c r="O69" s="11"/>
      <c r="P69" s="6">
        <v>2354.85</v>
      </c>
      <c r="Q69" s="2"/>
      <c r="R69" s="7">
        <f t="shared" si="32"/>
        <v>1.1575161732513837E-3</v>
      </c>
      <c r="S69" s="2"/>
      <c r="T69" s="6">
        <v>1500</v>
      </c>
      <c r="U69" s="2"/>
      <c r="V69" s="7">
        <f t="shared" si="33"/>
        <v>8.2671957671957667E-4</v>
      </c>
      <c r="W69" s="2"/>
      <c r="X69" s="6">
        <f t="shared" si="34"/>
        <v>854.84999999999991</v>
      </c>
      <c r="Y69" s="2"/>
      <c r="Z69" s="7">
        <f t="shared" si="35"/>
        <v>0.56989999999999996</v>
      </c>
    </row>
    <row r="70" spans="1:26" s="28" customFormat="1" outlineLevel="1" collapsed="1" x14ac:dyDescent="0.3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4428.8599999999997</v>
      </c>
      <c r="E70" s="1"/>
      <c r="F70" s="5">
        <f t="shared" ref="F70:F74" si="36">IF(D$12=0,0,D70/D$12)</f>
        <v>1.4257478958527933E-2</v>
      </c>
      <c r="G70" s="1"/>
      <c r="H70" s="1">
        <f>SUM(OSRRefH22_12x_0)</f>
        <v>7150</v>
      </c>
      <c r="I70" s="1"/>
      <c r="J70" s="5">
        <f t="shared" ref="J70:J74" si="37">IF(H$12=0,0,H70/H$12)</f>
        <v>2.0061728395061727E-2</v>
      </c>
      <c r="K70" s="1"/>
      <c r="L70" s="1">
        <f t="shared" ref="L70:L74" si="38">+D70-H70</f>
        <v>-2721.1400000000003</v>
      </c>
      <c r="M70" s="1"/>
      <c r="N70" s="5">
        <f t="shared" ref="N70:N74" si="39">IF(H70=0,0,L70/H70)</f>
        <v>-0.38057902097902102</v>
      </c>
      <c r="O70" s="14"/>
      <c r="P70" s="1">
        <f>SUM(OSRRefP22_12x_0)</f>
        <v>31042.199999999997</v>
      </c>
      <c r="Q70" s="1"/>
      <c r="R70" s="5">
        <f t="shared" ref="R70:R74" si="40">IF(P$12=0,0,P70/P$12)</f>
        <v>1.5258657049622737E-2</v>
      </c>
      <c r="S70" s="1"/>
      <c r="T70" s="1">
        <f>SUM(OSRRefT22_12x_0)</f>
        <v>42900</v>
      </c>
      <c r="U70" s="1"/>
      <c r="V70" s="5">
        <f t="shared" ref="V70:V74" si="41">IF(T$12=0,0,T70/T$12)</f>
        <v>2.3644179894179895E-2</v>
      </c>
      <c r="W70" s="1"/>
      <c r="X70" s="1">
        <f t="shared" ref="X70:X74" si="42">+P70-T70</f>
        <v>-11857.800000000003</v>
      </c>
      <c r="Y70" s="1"/>
      <c r="Z70" s="5">
        <f t="shared" ref="Z70:Z74" si="43">IF(T70=0,0,X70/T70)</f>
        <v>-0.27640559440559448</v>
      </c>
    </row>
    <row r="71" spans="1:26" s="24" customFormat="1" hidden="1" outlineLevel="2" x14ac:dyDescent="0.3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6"/>
      <c r="E71" s="2"/>
      <c r="F71" s="7">
        <f t="shared" si="36"/>
        <v>0</v>
      </c>
      <c r="G71" s="2"/>
      <c r="H71" s="6">
        <v>450</v>
      </c>
      <c r="I71" s="2"/>
      <c r="J71" s="7">
        <f t="shared" si="37"/>
        <v>1.2626262626262627E-3</v>
      </c>
      <c r="K71" s="2"/>
      <c r="L71" s="6">
        <f t="shared" si="38"/>
        <v>-450</v>
      </c>
      <c r="M71" s="2"/>
      <c r="N71" s="7">
        <f t="shared" si="39"/>
        <v>-1</v>
      </c>
      <c r="O71" s="11"/>
      <c r="P71" s="6">
        <v>2504.12</v>
      </c>
      <c r="Q71" s="2"/>
      <c r="R71" s="7">
        <f t="shared" si="40"/>
        <v>1.230889186046778E-3</v>
      </c>
      <c r="S71" s="2"/>
      <c r="T71" s="6">
        <v>2700</v>
      </c>
      <c r="U71" s="2"/>
      <c r="V71" s="7">
        <f t="shared" si="41"/>
        <v>1.488095238095238E-3</v>
      </c>
      <c r="W71" s="2"/>
      <c r="X71" s="6">
        <f t="shared" si="42"/>
        <v>-195.88000000000011</v>
      </c>
      <c r="Y71" s="2"/>
      <c r="Z71" s="7">
        <f t="shared" si="43"/>
        <v>-7.2548148148148195E-2</v>
      </c>
    </row>
    <row r="72" spans="1:26" s="24" customFormat="1" hidden="1" outlineLevel="2" x14ac:dyDescent="0.3">
      <c r="A72" s="29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>
        <v>500</v>
      </c>
      <c r="I72" s="2"/>
      <c r="J72" s="7">
        <f t="shared" si="37"/>
        <v>1.4029180695847362E-3</v>
      </c>
      <c r="K72" s="2"/>
      <c r="L72" s="6">
        <f t="shared" si="38"/>
        <v>-500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3000</v>
      </c>
      <c r="U72" s="2"/>
      <c r="V72" s="7">
        <f t="shared" si="41"/>
        <v>1.6534391534391533E-3</v>
      </c>
      <c r="W72" s="2"/>
      <c r="X72" s="6">
        <f t="shared" si="42"/>
        <v>-3000</v>
      </c>
      <c r="Y72" s="2"/>
      <c r="Z72" s="7">
        <f t="shared" si="43"/>
        <v>-1</v>
      </c>
    </row>
    <row r="73" spans="1:26" s="24" customFormat="1" hidden="1" outlineLevel="2" x14ac:dyDescent="0.3">
      <c r="A73" s="29"/>
      <c r="B73" s="11" t="str">
        <f>CONCATENATE("          ", "6285", " - ", "JANITORIAL SERVICES")</f>
        <v xml:space="preserve">          6285 - JANITORIAL SERVICES</v>
      </c>
      <c r="C73" s="11"/>
      <c r="D73" s="6">
        <v>4428.8599999999997</v>
      </c>
      <c r="E73" s="2"/>
      <c r="F73" s="7">
        <f t="shared" si="36"/>
        <v>1.4257478958527933E-2</v>
      </c>
      <c r="G73" s="2"/>
      <c r="H73" s="6">
        <v>4700</v>
      </c>
      <c r="I73" s="2"/>
      <c r="J73" s="7">
        <f t="shared" si="37"/>
        <v>1.3187429854096521E-2</v>
      </c>
      <c r="K73" s="2"/>
      <c r="L73" s="6">
        <f t="shared" si="38"/>
        <v>-271.14000000000033</v>
      </c>
      <c r="M73" s="2"/>
      <c r="N73" s="7">
        <f t="shared" si="39"/>
        <v>-5.7689361702127732E-2</v>
      </c>
      <c r="O73" s="11"/>
      <c r="P73" s="6">
        <v>27056.16</v>
      </c>
      <c r="Q73" s="2"/>
      <c r="R73" s="7">
        <f t="shared" si="40"/>
        <v>1.3299336597268259E-2</v>
      </c>
      <c r="S73" s="2"/>
      <c r="T73" s="6">
        <v>28200</v>
      </c>
      <c r="U73" s="2"/>
      <c r="V73" s="7">
        <f t="shared" si="41"/>
        <v>1.5542328042328041E-2</v>
      </c>
      <c r="W73" s="2"/>
      <c r="X73" s="6">
        <f t="shared" si="42"/>
        <v>-1143.8400000000001</v>
      </c>
      <c r="Y73" s="2"/>
      <c r="Z73" s="7">
        <f t="shared" si="43"/>
        <v>-4.0561702127659582E-2</v>
      </c>
    </row>
    <row r="74" spans="1:26" s="24" customFormat="1" hidden="1" outlineLevel="2" x14ac:dyDescent="0.3">
      <c r="A74" s="29"/>
      <c r="B74" s="11" t="str">
        <f>CONCATENATE("          ", "6286", " - ", "LAUNDRY EXPENSE")</f>
        <v xml:space="preserve">          6286 - LAUNDRY EXPENSE</v>
      </c>
      <c r="C74" s="11"/>
      <c r="D74" s="6"/>
      <c r="E74" s="2"/>
      <c r="F74" s="7">
        <f t="shared" si="36"/>
        <v>0</v>
      </c>
      <c r="G74" s="2"/>
      <c r="H74" s="6">
        <v>1500</v>
      </c>
      <c r="I74" s="2"/>
      <c r="J74" s="7">
        <f t="shared" si="37"/>
        <v>4.2087542087542087E-3</v>
      </c>
      <c r="K74" s="2"/>
      <c r="L74" s="6">
        <f t="shared" si="38"/>
        <v>-1500</v>
      </c>
      <c r="M74" s="2"/>
      <c r="N74" s="7">
        <f t="shared" si="39"/>
        <v>-1</v>
      </c>
      <c r="O74" s="11"/>
      <c r="P74" s="6">
        <v>1481.92</v>
      </c>
      <c r="Q74" s="2"/>
      <c r="R74" s="7">
        <f t="shared" si="40"/>
        <v>7.2843126630770146E-4</v>
      </c>
      <c r="S74" s="2"/>
      <c r="T74" s="6">
        <v>9000</v>
      </c>
      <c r="U74" s="2"/>
      <c r="V74" s="7">
        <f t="shared" si="41"/>
        <v>4.96031746031746E-3</v>
      </c>
      <c r="W74" s="2"/>
      <c r="X74" s="6">
        <f t="shared" si="42"/>
        <v>-7518.08</v>
      </c>
      <c r="Y74" s="2"/>
      <c r="Z74" s="7">
        <f t="shared" si="43"/>
        <v>-0.83534222222222221</v>
      </c>
    </row>
    <row r="75" spans="1:26" s="28" customFormat="1" outlineLevel="1" collapsed="1" x14ac:dyDescent="0.3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4928.51</v>
      </c>
      <c r="E75" s="1"/>
      <c r="F75" s="5">
        <f t="shared" ref="F75:F83" si="44">IF(D$12=0,0,D75/D$12)</f>
        <v>1.586596271318003E-2</v>
      </c>
      <c r="G75" s="1"/>
      <c r="H75" s="1">
        <f>SUM(OSRRefH22_13x_0)</f>
        <v>11396</v>
      </c>
      <c r="I75" s="1"/>
      <c r="J75" s="5">
        <f t="shared" ref="J75:J83" si="45">IF(H$12=0,0,H75/H$12)</f>
        <v>3.1975308641975307E-2</v>
      </c>
      <c r="K75" s="1"/>
      <c r="L75" s="1">
        <f t="shared" ref="L75:L83" si="46">+D75-H75</f>
        <v>-6467.49</v>
      </c>
      <c r="M75" s="1"/>
      <c r="N75" s="5">
        <f t="shared" ref="N75:N83" si="47">IF(H75=0,0,L75/H75)</f>
        <v>-0.56752281502281499</v>
      </c>
      <c r="O75" s="14"/>
      <c r="P75" s="1">
        <f>SUM(OSRRefP22_13x_0)</f>
        <v>43822.880000000005</v>
      </c>
      <c r="Q75" s="1"/>
      <c r="R75" s="5">
        <f t="shared" ref="R75:R83" si="48">IF(P$12=0,0,P75/P$12)</f>
        <v>2.1540944161392277E-2</v>
      </c>
      <c r="S75" s="1"/>
      <c r="T75" s="1">
        <f>SUM(OSRRefT22_13x_0)</f>
        <v>68376</v>
      </c>
      <c r="U75" s="1"/>
      <c r="V75" s="5">
        <f t="shared" ref="V75:V83" si="49">IF(T$12=0,0,T75/T$12)</f>
        <v>3.7685185185185183E-2</v>
      </c>
      <c r="W75" s="1"/>
      <c r="X75" s="1">
        <f t="shared" ref="X75:X83" si="50">+P75-T75</f>
        <v>-24553.119999999995</v>
      </c>
      <c r="Y75" s="1"/>
      <c r="Z75" s="5">
        <f t="shared" ref="Z75:Z83" si="51">IF(T75=0,0,X75/T75)</f>
        <v>-0.35908973908973901</v>
      </c>
    </row>
    <row r="76" spans="1:26" s="24" customFormat="1" hidden="1" outlineLevel="2" x14ac:dyDescent="0.3">
      <c r="A76" s="29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21.98</v>
      </c>
      <c r="Q76" s="2"/>
      <c r="R76" s="7">
        <f t="shared" si="48"/>
        <v>1.0804172447529743E-5</v>
      </c>
      <c r="S76" s="2"/>
      <c r="T76" s="6"/>
      <c r="U76" s="2"/>
      <c r="V76" s="7">
        <f t="shared" si="49"/>
        <v>0</v>
      </c>
      <c r="W76" s="2"/>
      <c r="X76" s="6">
        <f t="shared" si="50"/>
        <v>21.98</v>
      </c>
      <c r="Y76" s="2"/>
      <c r="Z76" s="7">
        <f t="shared" si="51"/>
        <v>0</v>
      </c>
    </row>
    <row r="77" spans="1:26" s="24" customFormat="1" hidden="1" outlineLevel="2" x14ac:dyDescent="0.3">
      <c r="A77" s="29"/>
      <c r="B77" s="11" t="str">
        <f>CONCATENATE("          ", "6237", " - ", "JANITORIAL SUPPLIES")</f>
        <v xml:space="preserve">          6237 - JANITORIAL SUPPLIES</v>
      </c>
      <c r="C77" s="11"/>
      <c r="D77" s="6">
        <v>1102.43</v>
      </c>
      <c r="E77" s="2"/>
      <c r="F77" s="7">
        <f t="shared" si="44"/>
        <v>3.5489657673193442E-3</v>
      </c>
      <c r="G77" s="2"/>
      <c r="H77" s="6">
        <v>4000</v>
      </c>
      <c r="I77" s="2"/>
      <c r="J77" s="7">
        <f t="shared" si="45"/>
        <v>1.1223344556677889E-2</v>
      </c>
      <c r="K77" s="2"/>
      <c r="L77" s="6">
        <f t="shared" si="46"/>
        <v>-2897.5699999999997</v>
      </c>
      <c r="M77" s="2"/>
      <c r="N77" s="7">
        <f t="shared" si="47"/>
        <v>-0.72439249999999988</v>
      </c>
      <c r="O77" s="11"/>
      <c r="P77" s="6">
        <v>7525.63</v>
      </c>
      <c r="Q77" s="2"/>
      <c r="R77" s="7">
        <f t="shared" si="48"/>
        <v>3.6991903683486469E-3</v>
      </c>
      <c r="S77" s="2"/>
      <c r="T77" s="6">
        <v>24000</v>
      </c>
      <c r="U77" s="2"/>
      <c r="V77" s="7">
        <f t="shared" si="49"/>
        <v>1.3227513227513227E-2</v>
      </c>
      <c r="W77" s="2"/>
      <c r="X77" s="6">
        <f t="shared" si="50"/>
        <v>-16474.37</v>
      </c>
      <c r="Y77" s="2"/>
      <c r="Z77" s="7">
        <f t="shared" si="51"/>
        <v>-0.68643208333333328</v>
      </c>
    </row>
    <row r="78" spans="1:26" s="24" customFormat="1" hidden="1" outlineLevel="2" x14ac:dyDescent="0.3">
      <c r="A78" s="29"/>
      <c r="B78" s="11" t="str">
        <f>CONCATENATE("          ", "6239", " - ", "KITCHEN SUPPLIES")</f>
        <v xml:space="preserve">          6239 - KITCHEN SUPPLIES</v>
      </c>
      <c r="C78" s="11"/>
      <c r="D78" s="6"/>
      <c r="E78" s="2"/>
      <c r="F78" s="7">
        <f t="shared" si="44"/>
        <v>0</v>
      </c>
      <c r="G78" s="2"/>
      <c r="H78" s="6">
        <v>1500</v>
      </c>
      <c r="I78" s="2"/>
      <c r="J78" s="7">
        <f t="shared" si="45"/>
        <v>4.2087542087542087E-3</v>
      </c>
      <c r="K78" s="2"/>
      <c r="L78" s="6">
        <f t="shared" si="46"/>
        <v>-1500</v>
      </c>
      <c r="M78" s="2"/>
      <c r="N78" s="7">
        <f t="shared" si="47"/>
        <v>-1</v>
      </c>
      <c r="O78" s="11"/>
      <c r="P78" s="6">
        <v>5556.93</v>
      </c>
      <c r="Q78" s="2"/>
      <c r="R78" s="7">
        <f t="shared" si="48"/>
        <v>2.7314845313399206E-3</v>
      </c>
      <c r="S78" s="2"/>
      <c r="T78" s="6">
        <v>9000</v>
      </c>
      <c r="U78" s="2"/>
      <c r="V78" s="7">
        <f t="shared" si="49"/>
        <v>4.96031746031746E-3</v>
      </c>
      <c r="W78" s="2"/>
      <c r="X78" s="6">
        <f t="shared" si="50"/>
        <v>-3443.0699999999997</v>
      </c>
      <c r="Y78" s="2"/>
      <c r="Z78" s="7">
        <f t="shared" si="51"/>
        <v>-0.38256333333333331</v>
      </c>
    </row>
    <row r="79" spans="1:26" s="24" customFormat="1" hidden="1" outlineLevel="2" x14ac:dyDescent="0.3">
      <c r="A79" s="29"/>
      <c r="B79" s="11" t="str">
        <f>CONCATENATE("          ", "6241", " - ", "OFFICE EXPENSE")</f>
        <v xml:space="preserve">          6241 - OFFICE EXPENSE</v>
      </c>
      <c r="C79" s="11"/>
      <c r="D79" s="6">
        <v>165.39</v>
      </c>
      <c r="E79" s="2"/>
      <c r="F79" s="7">
        <f t="shared" si="44"/>
        <v>5.3242695523248297E-4</v>
      </c>
      <c r="G79" s="2"/>
      <c r="H79" s="6">
        <v>500</v>
      </c>
      <c r="I79" s="2"/>
      <c r="J79" s="7">
        <f t="shared" si="45"/>
        <v>1.4029180695847362E-3</v>
      </c>
      <c r="K79" s="2"/>
      <c r="L79" s="6">
        <f t="shared" si="46"/>
        <v>-334.61</v>
      </c>
      <c r="M79" s="2"/>
      <c r="N79" s="7">
        <f t="shared" si="47"/>
        <v>-0.66922000000000004</v>
      </c>
      <c r="O79" s="11"/>
      <c r="P79" s="6">
        <v>2962.84</v>
      </c>
      <c r="Q79" s="2"/>
      <c r="R79" s="7">
        <f t="shared" si="48"/>
        <v>1.4563709870081449E-3</v>
      </c>
      <c r="S79" s="2"/>
      <c r="T79" s="6">
        <v>3000</v>
      </c>
      <c r="U79" s="2"/>
      <c r="V79" s="7">
        <f t="shared" si="49"/>
        <v>1.6534391534391533E-3</v>
      </c>
      <c r="W79" s="2"/>
      <c r="X79" s="6">
        <f t="shared" si="50"/>
        <v>-37.159999999999854</v>
      </c>
      <c r="Y79" s="2"/>
      <c r="Z79" s="7">
        <f t="shared" si="51"/>
        <v>-1.2386666666666619E-2</v>
      </c>
    </row>
    <row r="80" spans="1:26" s="24" customFormat="1" hidden="1" outlineLevel="2" x14ac:dyDescent="0.3">
      <c r="A80" s="29"/>
      <c r="B80" s="11" t="str">
        <f>CONCATENATE("          ", "6243", " - ", "PAPER SUPPLIES")</f>
        <v xml:space="preserve">          6243 - PAPER SUPPLIES</v>
      </c>
      <c r="C80" s="11"/>
      <c r="D80" s="6">
        <v>3660.69</v>
      </c>
      <c r="E80" s="2"/>
      <c r="F80" s="7">
        <f t="shared" si="44"/>
        <v>1.1784569990628203E-2</v>
      </c>
      <c r="G80" s="2"/>
      <c r="H80" s="6">
        <v>5000</v>
      </c>
      <c r="I80" s="2"/>
      <c r="J80" s="7">
        <f t="shared" si="45"/>
        <v>1.4029180695847363E-2</v>
      </c>
      <c r="K80" s="2"/>
      <c r="L80" s="6">
        <f t="shared" si="46"/>
        <v>-1339.31</v>
      </c>
      <c r="M80" s="2"/>
      <c r="N80" s="7">
        <f t="shared" si="47"/>
        <v>-0.26786199999999999</v>
      </c>
      <c r="O80" s="11"/>
      <c r="P80" s="6">
        <v>25677.17</v>
      </c>
      <c r="Q80" s="2"/>
      <c r="R80" s="7">
        <f t="shared" si="48"/>
        <v>1.2621500120315618E-2</v>
      </c>
      <c r="S80" s="2"/>
      <c r="T80" s="6">
        <v>30000</v>
      </c>
      <c r="U80" s="2"/>
      <c r="V80" s="7">
        <f t="shared" si="49"/>
        <v>1.6534391534391533E-2</v>
      </c>
      <c r="W80" s="2"/>
      <c r="X80" s="6">
        <f t="shared" si="50"/>
        <v>-4322.8300000000017</v>
      </c>
      <c r="Y80" s="2"/>
      <c r="Z80" s="7">
        <f t="shared" si="51"/>
        <v>-0.14409433333333338</v>
      </c>
    </row>
    <row r="81" spans="1:26" s="24" customFormat="1" hidden="1" outlineLevel="2" x14ac:dyDescent="0.3">
      <c r="A81" s="29"/>
      <c r="B81" s="11" t="str">
        <f>CONCATENATE("          ", "6244", " - ", "SAFETY SUPPLY EXPENSE")</f>
        <v xml:space="preserve">          6244 - SAFETY SUPPLY EXPENSE</v>
      </c>
      <c r="C81" s="11"/>
      <c r="D81" s="6"/>
      <c r="E81" s="2"/>
      <c r="F81" s="7">
        <f t="shared" si="44"/>
        <v>0</v>
      </c>
      <c r="G81" s="2"/>
      <c r="H81" s="6">
        <v>200</v>
      </c>
      <c r="I81" s="2"/>
      <c r="J81" s="7">
        <f t="shared" si="45"/>
        <v>5.6116722783389455E-4</v>
      </c>
      <c r="K81" s="2"/>
      <c r="L81" s="6">
        <f t="shared" si="46"/>
        <v>-200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1200</v>
      </c>
      <c r="U81" s="2"/>
      <c r="V81" s="7">
        <f t="shared" si="49"/>
        <v>6.6137566137566134E-4</v>
      </c>
      <c r="W81" s="2"/>
      <c r="X81" s="6">
        <f t="shared" si="50"/>
        <v>-1200</v>
      </c>
      <c r="Y81" s="2"/>
      <c r="Z81" s="7">
        <f t="shared" si="51"/>
        <v>-1</v>
      </c>
    </row>
    <row r="82" spans="1:26" s="24" customFormat="1" hidden="1" outlineLevel="2" x14ac:dyDescent="0.3">
      <c r="A82" s="29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207.93</v>
      </c>
      <c r="Q82" s="2"/>
      <c r="R82" s="7">
        <f t="shared" si="48"/>
        <v>1.0220707811714557E-4</v>
      </c>
      <c r="S82" s="2"/>
      <c r="T82" s="6"/>
      <c r="U82" s="2"/>
      <c r="V82" s="7">
        <f t="shared" si="49"/>
        <v>0</v>
      </c>
      <c r="W82" s="2"/>
      <c r="X82" s="6">
        <f t="shared" si="50"/>
        <v>207.93</v>
      </c>
      <c r="Y82" s="2"/>
      <c r="Z82" s="7">
        <f t="shared" si="51"/>
        <v>0</v>
      </c>
    </row>
    <row r="83" spans="1:26" s="24" customFormat="1" hidden="1" outlineLevel="2" x14ac:dyDescent="0.3">
      <c r="A83" s="29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4"/>
        <v>0</v>
      </c>
      <c r="G83" s="2"/>
      <c r="H83" s="6">
        <v>196</v>
      </c>
      <c r="I83" s="2"/>
      <c r="J83" s="7">
        <f t="shared" si="45"/>
        <v>5.4994388327721656E-4</v>
      </c>
      <c r="K83" s="2"/>
      <c r="L83" s="6">
        <f t="shared" si="46"/>
        <v>-196</v>
      </c>
      <c r="M83" s="2"/>
      <c r="N83" s="7">
        <f t="shared" si="47"/>
        <v>-1</v>
      </c>
      <c r="O83" s="11"/>
      <c r="P83" s="6">
        <v>1870.4</v>
      </c>
      <c r="Q83" s="2"/>
      <c r="R83" s="7">
        <f t="shared" si="48"/>
        <v>9.1938690381526992E-4</v>
      </c>
      <c r="S83" s="2"/>
      <c r="T83" s="6">
        <v>1176</v>
      </c>
      <c r="U83" s="2"/>
      <c r="V83" s="7">
        <f t="shared" si="49"/>
        <v>6.4814814814814813E-4</v>
      </c>
      <c r="W83" s="2"/>
      <c r="X83" s="6">
        <f t="shared" si="50"/>
        <v>694.40000000000009</v>
      </c>
      <c r="Y83" s="2"/>
      <c r="Z83" s="7">
        <f t="shared" si="51"/>
        <v>0.5904761904761906</v>
      </c>
    </row>
    <row r="84" spans="1:26" s="28" customFormat="1" outlineLevel="1" collapsed="1" x14ac:dyDescent="0.3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89</v>
      </c>
      <c r="E84" s="1"/>
      <c r="F84" s="5">
        <f t="shared" ref="F84:F85" si="52">IF(D$12=0,0,D84/D$12)</f>
        <v>2.86510665794129E-4</v>
      </c>
      <c r="G84" s="1"/>
      <c r="H84" s="1">
        <f>SUM(OSRRefH22_14x_0)</f>
        <v>175</v>
      </c>
      <c r="I84" s="1"/>
      <c r="J84" s="5">
        <f t="shared" ref="J84:J85" si="53">IF(H$12=0,0,H84/H$12)</f>
        <v>4.9102132435465773E-4</v>
      </c>
      <c r="K84" s="1"/>
      <c r="L84" s="1">
        <f t="shared" ref="L84:L85" si="54">+D84-H84</f>
        <v>-86</v>
      </c>
      <c r="M84" s="1"/>
      <c r="N84" s="5">
        <f t="shared" ref="N84:N85" si="55">IF(H84=0,0,L84/H84)</f>
        <v>-0.49142857142857144</v>
      </c>
      <c r="O84" s="14"/>
      <c r="P84" s="1">
        <f>SUM(OSRRefP22_14x_0)</f>
        <v>1284</v>
      </c>
      <c r="Q84" s="1"/>
      <c r="R84" s="5">
        <f t="shared" ref="R84:R85" si="56">IF(P$12=0,0,P84/P$12)</f>
        <v>6.3114455971920787E-4</v>
      </c>
      <c r="S84" s="1"/>
      <c r="T84" s="1">
        <f>SUM(OSRRefT22_14x_0)</f>
        <v>1050</v>
      </c>
      <c r="U84" s="1"/>
      <c r="V84" s="5">
        <f t="shared" ref="V84:V85" si="57">IF(T$12=0,0,T84/T$12)</f>
        <v>5.7870370370370367E-4</v>
      </c>
      <c r="W84" s="1"/>
      <c r="X84" s="1">
        <f t="shared" ref="X84:X85" si="58">+P84-T84</f>
        <v>234</v>
      </c>
      <c r="Y84" s="1"/>
      <c r="Z84" s="5">
        <f t="shared" ref="Z84:Z85" si="59">IF(T84=0,0,X84/T84)</f>
        <v>0.22285714285714286</v>
      </c>
    </row>
    <row r="85" spans="1:26" s="24" customFormat="1" hidden="1" outlineLevel="2" x14ac:dyDescent="0.3">
      <c r="A85" s="29"/>
      <c r="B85" s="11" t="str">
        <f>CONCATENATE("          ", "6309", " - ", "TELEPHONE")</f>
        <v xml:space="preserve">          6309 - TELEPHONE</v>
      </c>
      <c r="C85" s="11"/>
      <c r="D85" s="6">
        <v>89</v>
      </c>
      <c r="E85" s="2"/>
      <c r="F85" s="7">
        <f t="shared" si="52"/>
        <v>2.86510665794129E-4</v>
      </c>
      <c r="G85" s="2"/>
      <c r="H85" s="6">
        <v>175</v>
      </c>
      <c r="I85" s="2"/>
      <c r="J85" s="7">
        <f t="shared" si="53"/>
        <v>4.9102132435465773E-4</v>
      </c>
      <c r="K85" s="2"/>
      <c r="L85" s="6">
        <f t="shared" si="54"/>
        <v>-86</v>
      </c>
      <c r="M85" s="2"/>
      <c r="N85" s="7">
        <f t="shared" si="55"/>
        <v>-0.49142857142857144</v>
      </c>
      <c r="O85" s="11"/>
      <c r="P85" s="6">
        <v>1284</v>
      </c>
      <c r="Q85" s="2"/>
      <c r="R85" s="7">
        <f t="shared" si="56"/>
        <v>6.3114455971920787E-4</v>
      </c>
      <c r="S85" s="2"/>
      <c r="T85" s="6">
        <v>1050</v>
      </c>
      <c r="U85" s="2"/>
      <c r="V85" s="7">
        <f t="shared" si="57"/>
        <v>5.7870370370370367E-4</v>
      </c>
      <c r="W85" s="2"/>
      <c r="X85" s="6">
        <f t="shared" si="58"/>
        <v>234</v>
      </c>
      <c r="Y85" s="2"/>
      <c r="Z85" s="7">
        <f t="shared" si="59"/>
        <v>0.22285714285714286</v>
      </c>
    </row>
    <row r="86" spans="1:26" s="55" customFormat="1" x14ac:dyDescent="0.3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3">
      <c r="A87" s="10"/>
      <c r="B87" s="25" t="s">
        <v>293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3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10"/>
      <c r="B89" s="26" t="s">
        <v>277</v>
      </c>
      <c r="C89" s="26"/>
      <c r="D89" s="20">
        <f>+D23-D25+D87</f>
        <v>95057.420000000013</v>
      </c>
      <c r="E89" s="13"/>
      <c r="F89" s="22">
        <f>IF(D$12=0,0,D89/D$12)</f>
        <v>0.30601083924575456</v>
      </c>
      <c r="G89" s="13"/>
      <c r="H89" s="20">
        <f>+H23-H25+H87</f>
        <v>90886.578103076958</v>
      </c>
      <c r="I89" s="13"/>
      <c r="J89" s="22">
        <f>IF(H$12=0,0,H89/H$12)</f>
        <v>0.25501284540706215</v>
      </c>
      <c r="K89" s="16"/>
      <c r="L89" s="20">
        <f>+D89-H89</f>
        <v>4170.8418969230552</v>
      </c>
      <c r="M89" s="16"/>
      <c r="N89" s="22">
        <f>IF(H89=0,0,L89/H89)</f>
        <v>4.5890625260341399E-2</v>
      </c>
      <c r="O89" s="25"/>
      <c r="P89" s="20">
        <f>+P23-P25+P87</f>
        <v>698620.0299999998</v>
      </c>
      <c r="Q89" s="13"/>
      <c r="R89" s="22">
        <f>IF(P$12=0,0,P89/P$12)</f>
        <v>0.34340360688891719</v>
      </c>
      <c r="S89" s="13"/>
      <c r="T89" s="20">
        <f>+T23-T25+T87</f>
        <v>329554.27267000021</v>
      </c>
      <c r="U89" s="13"/>
      <c r="V89" s="22">
        <f>IF(T$12=0,0,T89/T$12)</f>
        <v>0.18163264587191369</v>
      </c>
      <c r="W89" s="16"/>
      <c r="X89" s="20">
        <f>+P89-T89</f>
        <v>369065.75732999959</v>
      </c>
      <c r="Y89" s="16"/>
      <c r="Z89" s="22">
        <f>IF(T89=0,0,X89/T89)</f>
        <v>1.1198937107987803</v>
      </c>
    </row>
    <row r="90" spans="1:26" x14ac:dyDescent="0.3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52"/>
      <c r="B91" s="10" t="s">
        <v>128</v>
      </c>
      <c r="C91" s="10"/>
      <c r="D91" s="4">
        <v>39561.599999999999</v>
      </c>
      <c r="E91" s="4"/>
      <c r="F91" s="12">
        <f>IF(D$12=0,0,D91/D$12)</f>
        <v>0.12735753208855072</v>
      </c>
      <c r="G91" s="4"/>
      <c r="H91" s="4">
        <v>52644</v>
      </c>
      <c r="I91" s="4"/>
      <c r="J91" s="12">
        <f>IF(H$12=0,0,H91/H$12)</f>
        <v>0.14771043771043771</v>
      </c>
      <c r="K91" s="4"/>
      <c r="L91" s="4">
        <f>+D91-H91</f>
        <v>-13082.400000000001</v>
      </c>
      <c r="M91" s="4"/>
      <c r="N91" s="12">
        <f>IF(H91=0,0,L91/H91)</f>
        <v>-0.24850695235924325</v>
      </c>
      <c r="O91" s="10"/>
      <c r="P91" s="4">
        <v>244882.26</v>
      </c>
      <c r="Q91" s="4"/>
      <c r="R91" s="12">
        <f>IF(P$12=0,0,P91/P$12)</f>
        <v>0.12037079919839923</v>
      </c>
      <c r="S91" s="4"/>
      <c r="T91" s="4">
        <v>234912</v>
      </c>
      <c r="U91" s="4"/>
      <c r="V91" s="12">
        <f>IF(T$12=0,0,T91/T$12)</f>
        <v>0.12947089947089946</v>
      </c>
      <c r="W91" s="4"/>
      <c r="X91" s="4">
        <f>+P91-T91</f>
        <v>9970.2600000000093</v>
      </c>
      <c r="Y91" s="4"/>
      <c r="Z91" s="12">
        <f>IF(T91=0,0,X91/T91)</f>
        <v>4.2442531671434448E-2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126</v>
      </c>
      <c r="C93" s="26"/>
      <c r="D93" s="31">
        <f>+D89-D91</f>
        <v>55495.820000000014</v>
      </c>
      <c r="E93" s="13"/>
      <c r="F93" s="30">
        <f>IF(D$12=0,0,D93/D$12)</f>
        <v>0.17865330715720384</v>
      </c>
      <c r="G93" s="13"/>
      <c r="H93" s="31">
        <f>+H89-H91</f>
        <v>38242.578103076958</v>
      </c>
      <c r="I93" s="13"/>
      <c r="J93" s="30">
        <f>IF(H$12=0,0,H93/H$12)</f>
        <v>0.10730240769662445</v>
      </c>
      <c r="K93" s="16"/>
      <c r="L93" s="31">
        <f>D93-H93</f>
        <v>17253.241896923057</v>
      </c>
      <c r="M93" s="16"/>
      <c r="N93" s="30">
        <f>IF(H93=0,0,L93/H93)</f>
        <v>0.45115268772988082</v>
      </c>
      <c r="O93" s="25"/>
      <c r="P93" s="31">
        <f>+P89-P91</f>
        <v>453737.76999999979</v>
      </c>
      <c r="Q93" s="13"/>
      <c r="R93" s="30">
        <f>IF(P$12=0,0,P93/P$12)</f>
        <v>0.22303280769051798</v>
      </c>
      <c r="S93" s="13"/>
      <c r="T93" s="31">
        <f>+T89-T91</f>
        <v>94642.272670000209</v>
      </c>
      <c r="U93" s="13"/>
      <c r="V93" s="30">
        <f>IF(T$12=0,0,T93/T$12)</f>
        <v>5.2161746401014224E-2</v>
      </c>
      <c r="W93" s="16"/>
      <c r="X93" s="31">
        <f>P93-T93</f>
        <v>359095.49732999958</v>
      </c>
      <c r="Y93" s="16"/>
      <c r="Z93" s="30">
        <f>IF(T93=0,0,X93/T93)</f>
        <v>3.7942400071276605</v>
      </c>
    </row>
    <row r="94" spans="1:26" ht="15" thickTop="1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294</v>
      </c>
      <c r="C96" s="26"/>
      <c r="D96" s="35">
        <f>SUM(D93:D95)</f>
        <v>55495.820000000014</v>
      </c>
      <c r="E96" s="13"/>
      <c r="F96" s="34">
        <f>IF(D$12=0,0,D96/D$12)</f>
        <v>0.17865330715720384</v>
      </c>
      <c r="G96" s="13"/>
      <c r="H96" s="35">
        <f>SUM(H93:H95)</f>
        <v>38242.578103076958</v>
      </c>
      <c r="I96" s="13"/>
      <c r="J96" s="34">
        <f>IF(H$12=0,0,H96/H$12)</f>
        <v>0.10730240769662445</v>
      </c>
      <c r="K96" s="16"/>
      <c r="L96" s="35">
        <f>+D96-H96</f>
        <v>17253.241896923057</v>
      </c>
      <c r="M96" s="16"/>
      <c r="N96" s="34">
        <f>IF(H96=0,0,L96/H96)</f>
        <v>0.45115268772988082</v>
      </c>
      <c r="O96" s="25"/>
      <c r="P96" s="35">
        <f>SUM(P93:P95)</f>
        <v>453737.76999999979</v>
      </c>
      <c r="Q96" s="13"/>
      <c r="R96" s="34">
        <f>IF(P$12=0,0,P96/P$12)</f>
        <v>0.22303280769051798</v>
      </c>
      <c r="S96" s="13"/>
      <c r="T96" s="35">
        <f>SUM(T93:T95)</f>
        <v>94642.272670000209</v>
      </c>
      <c r="U96" s="13"/>
      <c r="V96" s="34">
        <f>IF(T$12=0,0,T96/T$12)</f>
        <v>5.2161746401014224E-2</v>
      </c>
      <c r="W96" s="16"/>
      <c r="X96" s="35">
        <f>+P96-T96</f>
        <v>359095.49732999958</v>
      </c>
      <c r="Y96" s="16"/>
      <c r="Z96" s="34">
        <f>IF(T96=0,0,X96/T96)</f>
        <v>3.7942400071276605</v>
      </c>
    </row>
    <row r="97" spans="1:24" ht="15" thickTop="1" x14ac:dyDescent="0.3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A98" s="9"/>
      <c r="B98" s="61">
        <v>44575.842125659721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3">
      <c r="A99" s="9"/>
      <c r="B99" s="62" t="s">
        <v>56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3">
      <c r="A100" s="9"/>
      <c r="B100" s="53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3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","444", " - ", "Parkside Dining Hall")</f>
        <v>Department 444 - Parkside Dining Hall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480584.42000000004</v>
      </c>
      <c r="E12" s="4"/>
      <c r="F12" s="12"/>
      <c r="G12" s="4"/>
      <c r="H12" s="4">
        <f>SUM(OSRRefH13x_0)</f>
        <v>435600</v>
      </c>
      <c r="I12" s="4"/>
      <c r="J12" s="12"/>
      <c r="K12" s="4"/>
      <c r="L12" s="4">
        <f t="shared" ref="L12:L16" si="0">+D12-H12</f>
        <v>44984.420000000042</v>
      </c>
      <c r="M12" s="4"/>
      <c r="N12" s="12">
        <f t="shared" ref="N12:N16" si="1">IF(H12=0,0,L12/H12)</f>
        <v>0.103270018365473</v>
      </c>
      <c r="O12" s="10"/>
      <c r="P12" s="4">
        <f>SUM(OSRRefP13x_0)</f>
        <v>2860637.4</v>
      </c>
      <c r="Q12" s="4"/>
      <c r="R12" s="12"/>
      <c r="S12" s="4"/>
      <c r="T12" s="4">
        <f>SUM(OSRRefT13x_0)</f>
        <v>2217600</v>
      </c>
      <c r="U12" s="4"/>
      <c r="V12" s="12"/>
      <c r="W12" s="4"/>
      <c r="X12" s="4">
        <f t="shared" ref="X12:X16" si="2">+P12-T12</f>
        <v>643037.39999999991</v>
      </c>
      <c r="Y12" s="4"/>
      <c r="Z12" s="12">
        <f t="shared" ref="Z12:Z16" si="3">IF(T12=0,0,X12/T12)</f>
        <v>0.28996996753246751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--88.78</f>
        <v>88.78</v>
      </c>
      <c r="E13" s="2"/>
      <c r="F13" s="19"/>
      <c r="G13" s="2"/>
      <c r="H13" s="2"/>
      <c r="I13" s="2"/>
      <c r="J13" s="19"/>
      <c r="K13" s="2"/>
      <c r="L13" s="2">
        <f t="shared" si="0"/>
        <v>88.78</v>
      </c>
      <c r="M13" s="2"/>
      <c r="N13" s="19">
        <f t="shared" si="1"/>
        <v>0</v>
      </c>
      <c r="O13" s="11"/>
      <c r="P13" s="2">
        <f>--576.76</f>
        <v>576.76</v>
      </c>
      <c r="Q13" s="2"/>
      <c r="R13" s="19"/>
      <c r="S13" s="2"/>
      <c r="T13" s="2"/>
      <c r="U13" s="2"/>
      <c r="V13" s="19"/>
      <c r="W13" s="2"/>
      <c r="X13" s="2">
        <f t="shared" si="2"/>
        <v>576.76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435600</v>
      </c>
      <c r="I14" s="2"/>
      <c r="J14" s="19"/>
      <c r="K14" s="2"/>
      <c r="L14" s="2">
        <f t="shared" si="0"/>
        <v>-435600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2217600</v>
      </c>
      <c r="U14" s="2"/>
      <c r="V14" s="19"/>
      <c r="W14" s="2"/>
      <c r="X14" s="2">
        <f t="shared" si="2"/>
        <v>-2217600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--479494.12</f>
        <v>479494.12</v>
      </c>
      <c r="E15" s="2"/>
      <c r="F15" s="19"/>
      <c r="G15" s="2"/>
      <c r="H15" s="2"/>
      <c r="I15" s="2"/>
      <c r="J15" s="19"/>
      <c r="K15" s="2"/>
      <c r="L15" s="2">
        <f t="shared" si="0"/>
        <v>479494.12</v>
      </c>
      <c r="M15" s="2"/>
      <c r="N15" s="19">
        <f t="shared" si="1"/>
        <v>0</v>
      </c>
      <c r="O15" s="11"/>
      <c r="P15" s="2">
        <f>--2846369.85</f>
        <v>2846369.85</v>
      </c>
      <c r="Q15" s="2"/>
      <c r="R15" s="19"/>
      <c r="S15" s="2"/>
      <c r="T15" s="2"/>
      <c r="U15" s="2"/>
      <c r="V15" s="19"/>
      <c r="W15" s="2"/>
      <c r="X15" s="2">
        <f t="shared" si="2"/>
        <v>2846369.85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--1001.52</f>
        <v>1001.52</v>
      </c>
      <c r="E16" s="2"/>
      <c r="F16" s="19"/>
      <c r="G16" s="2"/>
      <c r="H16" s="2"/>
      <c r="I16" s="2"/>
      <c r="J16" s="19"/>
      <c r="K16" s="2"/>
      <c r="L16" s="2">
        <f t="shared" si="0"/>
        <v>1001.52</v>
      </c>
      <c r="M16" s="2"/>
      <c r="N16" s="19">
        <f t="shared" si="1"/>
        <v>0</v>
      </c>
      <c r="O16" s="11"/>
      <c r="P16" s="2">
        <f>--13690.79</f>
        <v>13690.79</v>
      </c>
      <c r="Q16" s="2"/>
      <c r="R16" s="19"/>
      <c r="S16" s="2"/>
      <c r="T16" s="2"/>
      <c r="U16" s="2"/>
      <c r="V16" s="19"/>
      <c r="W16" s="2"/>
      <c r="X16" s="2">
        <f t="shared" si="2"/>
        <v>13690.79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115307.46</v>
      </c>
      <c r="E18" s="4"/>
      <c r="F18" s="12">
        <f t="shared" ref="F18:F21" si="4">IF(D$12=0,0,D18/D$12)</f>
        <v>0.23993174809953263</v>
      </c>
      <c r="G18" s="4"/>
      <c r="H18" s="4">
        <f>SUM(OSRRefH16x_0)</f>
        <v>130680</v>
      </c>
      <c r="I18" s="4"/>
      <c r="J18" s="12">
        <f t="shared" ref="J18:J21" si="5">IF(H$12=0,0,H18/H$12)</f>
        <v>0.3</v>
      </c>
      <c r="K18" s="4"/>
      <c r="L18" s="4">
        <f t="shared" ref="L18:L21" si="6">+D18-H18</f>
        <v>-15372.539999999994</v>
      </c>
      <c r="M18" s="4"/>
      <c r="N18" s="12">
        <f t="shared" ref="N18:N21" si="7">IF(H18=0,0,L18/H18)</f>
        <v>-0.11763498622589527</v>
      </c>
      <c r="O18" s="10"/>
      <c r="P18" s="4">
        <f>SUM(OSRRefP16x_0)</f>
        <v>733034.68</v>
      </c>
      <c r="Q18" s="4"/>
      <c r="R18" s="12">
        <f t="shared" ref="R18:R21" si="8">IF(P$12=0,0,P18/P$12)</f>
        <v>0.25624872274969213</v>
      </c>
      <c r="S18" s="4"/>
      <c r="T18" s="4">
        <f>SUM(OSRRefT16x_0)</f>
        <v>627264</v>
      </c>
      <c r="U18" s="4"/>
      <c r="V18" s="12">
        <f t="shared" ref="V18:V21" si="9">IF(T$12=0,0,T18/T$12)</f>
        <v>0.28285714285714286</v>
      </c>
      <c r="W18" s="4"/>
      <c r="X18" s="4">
        <f t="shared" ref="X18:X21" si="10">+P18-T18</f>
        <v>105770.68000000005</v>
      </c>
      <c r="Y18" s="4"/>
      <c r="Z18" s="12">
        <f t="shared" ref="Z18:Z21" si="11">IF(T18=0,0,X18/T18)</f>
        <v>0.16862227068666472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130680</v>
      </c>
      <c r="I19" s="2"/>
      <c r="J19" s="19">
        <f t="shared" si="5"/>
        <v>0.3</v>
      </c>
      <c r="K19" s="2"/>
      <c r="L19" s="2">
        <f t="shared" si="6"/>
        <v>-130680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627264</v>
      </c>
      <c r="U19" s="2"/>
      <c r="V19" s="19">
        <f t="shared" si="9"/>
        <v>0.28285714285714286</v>
      </c>
      <c r="W19" s="2"/>
      <c r="X19" s="2">
        <f t="shared" si="10"/>
        <v>-627264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97137.46</v>
      </c>
      <c r="E20" s="2"/>
      <c r="F20" s="19">
        <f t="shared" si="4"/>
        <v>0.20212361441097071</v>
      </c>
      <c r="G20" s="2"/>
      <c r="H20" s="2"/>
      <c r="I20" s="2"/>
      <c r="J20" s="19">
        <f t="shared" si="5"/>
        <v>0</v>
      </c>
      <c r="K20" s="2"/>
      <c r="L20" s="2">
        <f t="shared" si="6"/>
        <v>97137.46</v>
      </c>
      <c r="M20" s="2"/>
      <c r="N20" s="19">
        <f t="shared" si="7"/>
        <v>0</v>
      </c>
      <c r="O20" s="11"/>
      <c r="P20" s="2">
        <v>724412.68</v>
      </c>
      <c r="Q20" s="2"/>
      <c r="R20" s="19">
        <f t="shared" si="8"/>
        <v>0.25323470915957402</v>
      </c>
      <c r="S20" s="2"/>
      <c r="T20" s="2"/>
      <c r="U20" s="2"/>
      <c r="V20" s="19">
        <f t="shared" si="9"/>
        <v>0</v>
      </c>
      <c r="W20" s="2"/>
      <c r="X20" s="2">
        <f t="shared" si="10"/>
        <v>724412.68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18170</v>
      </c>
      <c r="E21" s="2"/>
      <c r="F21" s="19">
        <f t="shared" si="4"/>
        <v>3.7808133688561937E-2</v>
      </c>
      <c r="G21" s="2"/>
      <c r="H21" s="2"/>
      <c r="I21" s="2"/>
      <c r="J21" s="19">
        <f t="shared" si="5"/>
        <v>0</v>
      </c>
      <c r="K21" s="2"/>
      <c r="L21" s="2">
        <f t="shared" si="6"/>
        <v>18170</v>
      </c>
      <c r="M21" s="2"/>
      <c r="N21" s="19">
        <f t="shared" si="7"/>
        <v>0</v>
      </c>
      <c r="O21" s="11"/>
      <c r="P21" s="2">
        <v>8622</v>
      </c>
      <c r="Q21" s="2"/>
      <c r="R21" s="19">
        <f t="shared" si="8"/>
        <v>3.0140135901180628E-3</v>
      </c>
      <c r="S21" s="2"/>
      <c r="T21" s="2"/>
      <c r="U21" s="2"/>
      <c r="V21" s="19">
        <f t="shared" si="9"/>
        <v>0</v>
      </c>
      <c r="W21" s="2"/>
      <c r="X21" s="2">
        <f t="shared" si="10"/>
        <v>8622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365276.96</v>
      </c>
      <c r="E23" s="13"/>
      <c r="F23" s="22">
        <f>IF(D$12=0,0,D23/D$12)</f>
        <v>0.76006825190046734</v>
      </c>
      <c r="G23" s="13"/>
      <c r="H23" s="20">
        <f>H12-H18</f>
        <v>304920</v>
      </c>
      <c r="I23" s="13"/>
      <c r="J23" s="22">
        <f>IF(H$12=0,0,H23/H$12)</f>
        <v>0.7</v>
      </c>
      <c r="K23" s="16"/>
      <c r="L23" s="20">
        <f>+D23-H23</f>
        <v>60356.960000000021</v>
      </c>
      <c r="M23" s="16"/>
      <c r="N23" s="22">
        <f>IF(H23=0,0,L23/H23)</f>
        <v>0.19794359176177365</v>
      </c>
      <c r="O23" s="25"/>
      <c r="P23" s="20">
        <f>P12-P18</f>
        <v>2127602.7199999997</v>
      </c>
      <c r="Q23" s="13"/>
      <c r="R23" s="22">
        <f>IF(P$12=0,0,P23/P$12)</f>
        <v>0.74375127725030787</v>
      </c>
      <c r="S23" s="13"/>
      <c r="T23" s="20">
        <f>T12-T18</f>
        <v>1590336</v>
      </c>
      <c r="U23" s="13"/>
      <c r="V23" s="22">
        <f>IF(T$12=0,0,T23/T$12)</f>
        <v>0.71714285714285719</v>
      </c>
      <c r="W23" s="16"/>
      <c r="X23" s="20">
        <f>+P23-T23</f>
        <v>537266.71999999974</v>
      </c>
      <c r="Y23" s="16"/>
      <c r="Z23" s="22">
        <f>IF(T23=0,0,X23/T23)</f>
        <v>0.33783220652742546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186289.76999999996</v>
      </c>
      <c r="E25" s="21"/>
      <c r="F25" s="32">
        <f t="shared" ref="F25:F36" si="12">IF(D$12=0,0,D25/D$12)</f>
        <v>0.38763172971774645</v>
      </c>
      <c r="G25" s="21"/>
      <c r="H25" s="21">
        <f>SUM(OSRRefH22x_0)</f>
        <v>204588.65969121995</v>
      </c>
      <c r="I25" s="21"/>
      <c r="J25" s="32">
        <f t="shared" ref="J25:J36" si="13">IF(H$12=0,0,H25/H$12)</f>
        <v>0.46967093593025699</v>
      </c>
      <c r="K25" s="4"/>
      <c r="L25" s="21">
        <f t="shared" ref="L25:L36" si="14">+D25-H25</f>
        <v>-18298.889691219985</v>
      </c>
      <c r="M25" s="4"/>
      <c r="N25" s="32">
        <f t="shared" ref="N25:N36" si="15">IF(H25=0,0,L25/H25)</f>
        <v>-8.944234601682223E-2</v>
      </c>
      <c r="O25" s="10"/>
      <c r="P25" s="21">
        <f>SUM(OSRRefP22x_0)</f>
        <v>1113911.3000000003</v>
      </c>
      <c r="Q25" s="21"/>
      <c r="R25" s="32">
        <f t="shared" ref="R25:R36" si="16">IF(P$12=0,0,P25/P$12)</f>
        <v>0.38939269269149607</v>
      </c>
      <c r="S25" s="21"/>
      <c r="T25" s="21">
        <f>SUM(OSRRefT22x_0)</f>
        <v>1217733.0039929298</v>
      </c>
      <c r="U25" s="21"/>
      <c r="V25" s="32">
        <f t="shared" ref="V25:V36" si="17">IF(T$12=0,0,T25/T$12)</f>
        <v>0.54912202561008738</v>
      </c>
      <c r="W25" s="4"/>
      <c r="X25" s="21">
        <f t="shared" ref="X25:X36" si="18">+P25-T25</f>
        <v>-103821.70399292954</v>
      </c>
      <c r="Y25" s="4"/>
      <c r="Z25" s="32">
        <f t="shared" ref="Z25:Z36" si="19">IF(T25=0,0,X25/T25)</f>
        <v>-8.5258183569386387E-2</v>
      </c>
    </row>
    <row r="26" spans="1:26" s="28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28841.649999999998</v>
      </c>
      <c r="E26" s="1"/>
      <c r="F26" s="5">
        <f t="shared" si="12"/>
        <v>6.0013701651002324E-2</v>
      </c>
      <c r="G26" s="1"/>
      <c r="H26" s="1">
        <f>SUM(OSRRefH22_0x_0)</f>
        <v>38390.039660450733</v>
      </c>
      <c r="I26" s="1"/>
      <c r="J26" s="5">
        <f t="shared" si="13"/>
        <v>8.8131404179179834E-2</v>
      </c>
      <c r="K26" s="1"/>
      <c r="L26" s="1">
        <f t="shared" si="14"/>
        <v>-9548.3896604507354</v>
      </c>
      <c r="M26" s="1"/>
      <c r="N26" s="5">
        <f t="shared" si="15"/>
        <v>-0.24872049481854139</v>
      </c>
      <c r="O26" s="14"/>
      <c r="P26" s="1">
        <f>SUM(OSRRefP22_0x_0)</f>
        <v>185733.59999999998</v>
      </c>
      <c r="Q26" s="1"/>
      <c r="R26" s="5">
        <f t="shared" si="16"/>
        <v>6.4927348009922545E-2</v>
      </c>
      <c r="S26" s="1"/>
      <c r="T26" s="1">
        <f>SUM(OSRRefT22_0x_0)</f>
        <v>245840.14629293</v>
      </c>
      <c r="U26" s="1"/>
      <c r="V26" s="5">
        <f t="shared" si="17"/>
        <v>0.11085865182761995</v>
      </c>
      <c r="W26" s="1"/>
      <c r="X26" s="1">
        <f t="shared" si="18"/>
        <v>-60106.546292930027</v>
      </c>
      <c r="Y26" s="1"/>
      <c r="Z26" s="5">
        <f t="shared" si="19"/>
        <v>-0.24449442940580696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6">
        <v>3919.17</v>
      </c>
      <c r="E27" s="2"/>
      <c r="F27" s="7">
        <f t="shared" si="12"/>
        <v>8.1550084374354039E-3</v>
      </c>
      <c r="G27" s="2"/>
      <c r="H27" s="6">
        <v>3512.8786589123101</v>
      </c>
      <c r="I27" s="2"/>
      <c r="J27" s="7">
        <f t="shared" si="13"/>
        <v>8.064459731203651E-3</v>
      </c>
      <c r="K27" s="2"/>
      <c r="L27" s="6">
        <f t="shared" si="14"/>
        <v>406.29134108768994</v>
      </c>
      <c r="M27" s="2"/>
      <c r="N27" s="7">
        <f t="shared" si="15"/>
        <v>0.1156576644220013</v>
      </c>
      <c r="O27" s="11"/>
      <c r="P27" s="6">
        <v>29308.79</v>
      </c>
      <c r="Q27" s="2"/>
      <c r="R27" s="7">
        <f t="shared" si="16"/>
        <v>1.0245545276028343E-2</v>
      </c>
      <c r="S27" s="2"/>
      <c r="T27" s="6">
        <v>25221.447282929999</v>
      </c>
      <c r="U27" s="2"/>
      <c r="V27" s="7">
        <f t="shared" si="17"/>
        <v>1.1373307757454003E-2</v>
      </c>
      <c r="W27" s="2"/>
      <c r="X27" s="6">
        <f t="shared" si="18"/>
        <v>4087.3427170700015</v>
      </c>
      <c r="Y27" s="2"/>
      <c r="Z27" s="7">
        <f t="shared" si="19"/>
        <v>0.16205821463054323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3186.31</v>
      </c>
      <c r="E28" s="2"/>
      <c r="F28" s="7">
        <f t="shared" si="12"/>
        <v>6.6300734426638294E-3</v>
      </c>
      <c r="G28" s="2"/>
      <c r="H28" s="6">
        <v>4105.3841561384597</v>
      </c>
      <c r="I28" s="2"/>
      <c r="J28" s="7">
        <f t="shared" si="13"/>
        <v>9.4246651885639566E-3</v>
      </c>
      <c r="K28" s="2"/>
      <c r="L28" s="6">
        <f t="shared" si="14"/>
        <v>-919.07415613845978</v>
      </c>
      <c r="M28" s="2"/>
      <c r="N28" s="7">
        <f t="shared" si="15"/>
        <v>-0.22387043969179843</v>
      </c>
      <c r="O28" s="11"/>
      <c r="P28" s="6">
        <v>18057.240000000002</v>
      </c>
      <c r="Q28" s="2"/>
      <c r="R28" s="7">
        <f t="shared" si="16"/>
        <v>6.3123134725149022E-3</v>
      </c>
      <c r="S28" s="2"/>
      <c r="T28" s="6">
        <v>25096.2574399</v>
      </c>
      <c r="U28" s="2"/>
      <c r="V28" s="7">
        <f t="shared" si="17"/>
        <v>1.1316854906159813E-2</v>
      </c>
      <c r="W28" s="2"/>
      <c r="X28" s="6">
        <f t="shared" si="18"/>
        <v>-7039.0174398999989</v>
      </c>
      <c r="Y28" s="2"/>
      <c r="Z28" s="7">
        <f t="shared" si="19"/>
        <v>-0.28048076318777382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6">
        <v>14541.32</v>
      </c>
      <c r="E29" s="2"/>
      <c r="F29" s="7">
        <f t="shared" si="12"/>
        <v>3.0257576806172783E-2</v>
      </c>
      <c r="G29" s="2"/>
      <c r="H29" s="6">
        <v>21172.769230769201</v>
      </c>
      <c r="I29" s="2"/>
      <c r="J29" s="7">
        <f t="shared" si="13"/>
        <v>4.8605989969626263E-2</v>
      </c>
      <c r="K29" s="2"/>
      <c r="L29" s="6">
        <f t="shared" si="14"/>
        <v>-6631.4492307692017</v>
      </c>
      <c r="M29" s="2"/>
      <c r="N29" s="7">
        <f t="shared" si="15"/>
        <v>-0.31320651344615269</v>
      </c>
      <c r="O29" s="11"/>
      <c r="P29" s="6">
        <v>91846.55</v>
      </c>
      <c r="Q29" s="2"/>
      <c r="R29" s="7">
        <f t="shared" si="16"/>
        <v>3.2107022721579469E-2</v>
      </c>
      <c r="S29" s="2"/>
      <c r="T29" s="6">
        <v>135612</v>
      </c>
      <c r="U29" s="2"/>
      <c r="V29" s="7">
        <f t="shared" si="17"/>
        <v>6.1152597402597403E-2</v>
      </c>
      <c r="W29" s="2"/>
      <c r="X29" s="6">
        <f t="shared" si="18"/>
        <v>-43765.45</v>
      </c>
      <c r="Y29" s="2"/>
      <c r="Z29" s="7">
        <f t="shared" si="19"/>
        <v>-0.32272549626876673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230.12</v>
      </c>
      <c r="E30" s="2"/>
      <c r="F30" s="7">
        <f t="shared" si="12"/>
        <v>4.7883366672602494E-4</v>
      </c>
      <c r="G30" s="2"/>
      <c r="H30" s="6">
        <v>227.47511155384601</v>
      </c>
      <c r="I30" s="2"/>
      <c r="J30" s="7">
        <f t="shared" si="13"/>
        <v>5.2221099989404501E-4</v>
      </c>
      <c r="K30" s="2"/>
      <c r="L30" s="6">
        <f t="shared" si="14"/>
        <v>2.644888446153999</v>
      </c>
      <c r="M30" s="2"/>
      <c r="N30" s="7">
        <f t="shared" si="15"/>
        <v>1.1627155287834305E-2</v>
      </c>
      <c r="O30" s="11"/>
      <c r="P30" s="6">
        <v>1304.1199999999999</v>
      </c>
      <c r="Q30" s="2"/>
      <c r="R30" s="7">
        <f t="shared" si="16"/>
        <v>4.5588441233411823E-4</v>
      </c>
      <c r="S30" s="2"/>
      <c r="T30" s="6">
        <v>1390.5578000999999</v>
      </c>
      <c r="U30" s="2"/>
      <c r="V30" s="7">
        <f t="shared" si="17"/>
        <v>6.2705528503787878E-4</v>
      </c>
      <c r="W30" s="2"/>
      <c r="X30" s="6">
        <f t="shared" si="18"/>
        <v>-86.437800100000004</v>
      </c>
      <c r="Y30" s="2"/>
      <c r="Z30" s="7">
        <f t="shared" si="19"/>
        <v>-6.2160522988533064E-2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6">
        <v>1491.88</v>
      </c>
      <c r="E31" s="2"/>
      <c r="F31" s="7">
        <f t="shared" si="12"/>
        <v>3.1043037142152881E-3</v>
      </c>
      <c r="G31" s="2"/>
      <c r="H31" s="6">
        <v>1406.6708415384601</v>
      </c>
      <c r="I31" s="2"/>
      <c r="J31" s="7">
        <f t="shared" si="13"/>
        <v>3.2292719043582646E-3</v>
      </c>
      <c r="K31" s="2"/>
      <c r="L31" s="6">
        <f t="shared" si="14"/>
        <v>85.209158461540028</v>
      </c>
      <c r="M31" s="2"/>
      <c r="N31" s="7">
        <f t="shared" si="15"/>
        <v>6.057505135199058E-2</v>
      </c>
      <c r="O31" s="11"/>
      <c r="P31" s="6">
        <v>9379.56</v>
      </c>
      <c r="Q31" s="2"/>
      <c r="R31" s="7">
        <f t="shared" si="16"/>
        <v>3.2788356888573153E-3</v>
      </c>
      <c r="S31" s="2"/>
      <c r="T31" s="6">
        <v>9143.3604699999996</v>
      </c>
      <c r="U31" s="2"/>
      <c r="V31" s="7">
        <f t="shared" si="17"/>
        <v>4.1230882350288597E-3</v>
      </c>
      <c r="W31" s="2"/>
      <c r="X31" s="6">
        <f t="shared" si="18"/>
        <v>236.19952999999987</v>
      </c>
      <c r="Y31" s="2"/>
      <c r="Z31" s="7">
        <f t="shared" si="19"/>
        <v>2.5832901456197304E-2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"6117", " - ", "RETIREMENT STAFF HOURLY")</f>
        <v xml:space="preserve">          6117 - RETIREMENT STAFF HOURLY</v>
      </c>
      <c r="C33" s="11"/>
      <c r="D33" s="6">
        <v>341.07</v>
      </c>
      <c r="E33" s="2"/>
      <c r="F33" s="7">
        <f t="shared" si="12"/>
        <v>7.0969841261187775E-4</v>
      </c>
      <c r="G33" s="2"/>
      <c r="H33" s="6"/>
      <c r="I33" s="2"/>
      <c r="J33" s="7">
        <f t="shared" si="13"/>
        <v>0</v>
      </c>
      <c r="K33" s="2"/>
      <c r="L33" s="6">
        <f t="shared" si="14"/>
        <v>341.07</v>
      </c>
      <c r="M33" s="2"/>
      <c r="N33" s="7">
        <f t="shared" si="15"/>
        <v>0</v>
      </c>
      <c r="O33" s="11"/>
      <c r="P33" s="6">
        <v>2578.0300000000002</v>
      </c>
      <c r="Q33" s="2"/>
      <c r="R33" s="7">
        <f t="shared" si="16"/>
        <v>9.0120824121225581E-4</v>
      </c>
      <c r="S33" s="2"/>
      <c r="T33" s="6"/>
      <c r="U33" s="2"/>
      <c r="V33" s="7">
        <f t="shared" si="17"/>
        <v>0</v>
      </c>
      <c r="W33" s="2"/>
      <c r="X33" s="6">
        <f t="shared" si="18"/>
        <v>2578.0300000000002</v>
      </c>
      <c r="Y33" s="2"/>
      <c r="Z33" s="7">
        <f t="shared" si="19"/>
        <v>0</v>
      </c>
    </row>
    <row r="34" spans="1:26" s="24" customFormat="1" hidden="1" outlineLevel="2" x14ac:dyDescent="0.3">
      <c r="A34" s="29"/>
      <c r="B34" s="11" t="str">
        <f>CONCATENATE("          ", "6118", " - ", "VACATION")</f>
        <v xml:space="preserve">          6118 - VACATION</v>
      </c>
      <c r="C34" s="11"/>
      <c r="D34" s="6">
        <v>2549.44</v>
      </c>
      <c r="E34" s="2"/>
      <c r="F34" s="7">
        <f t="shared" si="12"/>
        <v>5.3048744276811962E-3</v>
      </c>
      <c r="G34" s="2"/>
      <c r="H34" s="6">
        <v>1967.9663307692299</v>
      </c>
      <c r="I34" s="2"/>
      <c r="J34" s="7">
        <f t="shared" si="13"/>
        <v>4.5178290421699491E-3</v>
      </c>
      <c r="K34" s="2"/>
      <c r="L34" s="6">
        <f t="shared" si="14"/>
        <v>581.47366923077016</v>
      </c>
      <c r="M34" s="2"/>
      <c r="N34" s="7">
        <f t="shared" si="15"/>
        <v>0.29546931781271191</v>
      </c>
      <c r="O34" s="11"/>
      <c r="P34" s="6">
        <v>15948.74</v>
      </c>
      <c r="Q34" s="2"/>
      <c r="R34" s="7">
        <f t="shared" si="16"/>
        <v>5.5752399797331879E-3</v>
      </c>
      <c r="S34" s="2"/>
      <c r="T34" s="6">
        <v>12791.781150000001</v>
      </c>
      <c r="U34" s="2"/>
      <c r="V34" s="7">
        <f t="shared" si="17"/>
        <v>5.7682995806277058E-3</v>
      </c>
      <c r="W34" s="2"/>
      <c r="X34" s="6">
        <f t="shared" si="18"/>
        <v>3156.9588499999991</v>
      </c>
      <c r="Y34" s="2"/>
      <c r="Z34" s="7">
        <f t="shared" si="19"/>
        <v>0.246795877210579</v>
      </c>
    </row>
    <row r="35" spans="1:26" s="24" customFormat="1" hidden="1" outlineLevel="2" x14ac:dyDescent="0.3">
      <c r="A35" s="29"/>
      <c r="B35" s="11" t="str">
        <f>CONCATENATE("          ", "6119", " - ", "SICK LEAVE")</f>
        <v xml:space="preserve">          6119 - SICK LEAVE</v>
      </c>
      <c r="C35" s="11"/>
      <c r="D35" s="6">
        <v>1820.3</v>
      </c>
      <c r="E35" s="2"/>
      <c r="F35" s="7">
        <f t="shared" si="12"/>
        <v>3.7876800084363947E-3</v>
      </c>
      <c r="G35" s="2"/>
      <c r="H35" s="6">
        <v>3721.89533076923</v>
      </c>
      <c r="I35" s="2"/>
      <c r="J35" s="7">
        <f t="shared" si="13"/>
        <v>8.5442959843187102E-3</v>
      </c>
      <c r="K35" s="2"/>
      <c r="L35" s="6">
        <f t="shared" si="14"/>
        <v>-1901.59533076923</v>
      </c>
      <c r="M35" s="2"/>
      <c r="N35" s="7">
        <f t="shared" si="15"/>
        <v>-0.51092122743178114</v>
      </c>
      <c r="O35" s="11"/>
      <c r="P35" s="6">
        <v>11070.3</v>
      </c>
      <c r="Q35" s="2"/>
      <c r="R35" s="7">
        <f t="shared" si="16"/>
        <v>3.8698717985019703E-3</v>
      </c>
      <c r="S35" s="2"/>
      <c r="T35" s="6">
        <v>22934.742149999998</v>
      </c>
      <c r="U35" s="2"/>
      <c r="V35" s="7">
        <f t="shared" si="17"/>
        <v>1.0342145630411255E-2</v>
      </c>
      <c r="W35" s="2"/>
      <c r="X35" s="6">
        <f t="shared" si="18"/>
        <v>-11864.442149999999</v>
      </c>
      <c r="Y35" s="2"/>
      <c r="Z35" s="7">
        <f t="shared" si="19"/>
        <v>-0.51731308215296412</v>
      </c>
    </row>
    <row r="36" spans="1:26" s="24" customFormat="1" hidden="1" outlineLevel="2" x14ac:dyDescent="0.3">
      <c r="A36" s="29"/>
      <c r="B36" s="11" t="str">
        <f>CONCATENATE("          ", "6156", " - ", "EMPLOYEE MEALS")</f>
        <v xml:space="preserve">          6156 - EMPLOYEE MEALS</v>
      </c>
      <c r="C36" s="11"/>
      <c r="D36" s="6">
        <v>762.04</v>
      </c>
      <c r="E36" s="2"/>
      <c r="F36" s="7">
        <f t="shared" si="12"/>
        <v>1.5856527350595342E-3</v>
      </c>
      <c r="G36" s="2"/>
      <c r="H36" s="6">
        <v>2275</v>
      </c>
      <c r="I36" s="2"/>
      <c r="J36" s="7">
        <f t="shared" si="13"/>
        <v>5.222681359044995E-3</v>
      </c>
      <c r="K36" s="2"/>
      <c r="L36" s="6">
        <f t="shared" si="14"/>
        <v>-1512.96</v>
      </c>
      <c r="M36" s="2"/>
      <c r="N36" s="7">
        <f t="shared" si="15"/>
        <v>-0.66503736263736268</v>
      </c>
      <c r="O36" s="11"/>
      <c r="P36" s="6">
        <v>6240.27</v>
      </c>
      <c r="Q36" s="2"/>
      <c r="R36" s="7">
        <f t="shared" si="16"/>
        <v>2.1814264191609887E-3</v>
      </c>
      <c r="S36" s="2"/>
      <c r="T36" s="6">
        <v>13650</v>
      </c>
      <c r="U36" s="2"/>
      <c r="V36" s="7">
        <f t="shared" si="17"/>
        <v>6.15530303030303E-3</v>
      </c>
      <c r="W36" s="2"/>
      <c r="X36" s="6">
        <f t="shared" si="18"/>
        <v>-7409.73</v>
      </c>
      <c r="Y36" s="2"/>
      <c r="Z36" s="7">
        <f t="shared" si="19"/>
        <v>-0.5428373626373626</v>
      </c>
    </row>
    <row r="37" spans="1:26" s="28" customFormat="1" outlineLevel="1" collapsed="1" x14ac:dyDescent="0.3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92077.35</v>
      </c>
      <c r="E37" s="1"/>
      <c r="F37" s="5">
        <f t="shared" ref="F37:F47" si="20">IF(D$12=0,0,D37/D$12)</f>
        <v>0.19159453816667632</v>
      </c>
      <c r="G37" s="1"/>
      <c r="H37" s="1">
        <f>SUM(OSRRefH22_1x_0)</f>
        <v>102631.62003076921</v>
      </c>
      <c r="I37" s="1"/>
      <c r="J37" s="5">
        <f t="shared" ref="J37:J47" si="21">IF(H$12=0,0,H37/H$12)</f>
        <v>0.23560977968496144</v>
      </c>
      <c r="K37" s="1"/>
      <c r="L37" s="1">
        <f t="shared" ref="L37:L47" si="22">+D37-H37</f>
        <v>-10554.270030769199</v>
      </c>
      <c r="M37" s="1"/>
      <c r="N37" s="5">
        <f t="shared" ref="N37:N47" si="23">IF(H37=0,0,L37/H37)</f>
        <v>-0.10283643605747433</v>
      </c>
      <c r="O37" s="14"/>
      <c r="P37" s="1">
        <f>SUM(OSRRefP22_1x_0)</f>
        <v>539104.57999999996</v>
      </c>
      <c r="Q37" s="1"/>
      <c r="R37" s="5">
        <f t="shared" ref="R37:R47" si="24">IF(P$12=0,0,P37/P$12)</f>
        <v>0.1884561042234853</v>
      </c>
      <c r="S37" s="1"/>
      <c r="T37" s="1">
        <f>SUM(OSRRefT22_1x_0)</f>
        <v>626443.85769999982</v>
      </c>
      <c r="U37" s="1"/>
      <c r="V37" s="5">
        <f t="shared" ref="V37:V47" si="25">IF(T$12=0,0,T37/T$12)</f>
        <v>0.28248730956890322</v>
      </c>
      <c r="W37" s="1"/>
      <c r="X37" s="1">
        <f t="shared" ref="X37:X47" si="26">+P37-T37</f>
        <v>-87339.27769999986</v>
      </c>
      <c r="Y37" s="1"/>
      <c r="Z37" s="5">
        <f t="shared" ref="Z37:Z47" si="27">IF(T37=0,0,X37/T37)</f>
        <v>-0.13942075834324186</v>
      </c>
    </row>
    <row r="38" spans="1:26" s="24" customFormat="1" hidden="1" outlineLevel="2" x14ac:dyDescent="0.3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"6002", " - ", "STAFF SALARIES")</f>
        <v xml:space="preserve">          6002 - STAFF SALARIES</v>
      </c>
      <c r="C39" s="11"/>
      <c r="D39" s="6">
        <v>15104.22</v>
      </c>
      <c r="E39" s="2"/>
      <c r="F39" s="7">
        <f t="shared" si="20"/>
        <v>3.1428859054565265E-2</v>
      </c>
      <c r="G39" s="2"/>
      <c r="H39" s="6">
        <v>15375.239430769199</v>
      </c>
      <c r="I39" s="2"/>
      <c r="J39" s="7">
        <f t="shared" si="21"/>
        <v>3.5296692908101925E-2</v>
      </c>
      <c r="K39" s="2"/>
      <c r="L39" s="6">
        <f t="shared" si="22"/>
        <v>-271.01943076919997</v>
      </c>
      <c r="M39" s="2"/>
      <c r="N39" s="7">
        <f t="shared" si="23"/>
        <v>-1.762700554937903E-2</v>
      </c>
      <c r="O39" s="11"/>
      <c r="P39" s="6">
        <v>104092.9</v>
      </c>
      <c r="Q39" s="2"/>
      <c r="R39" s="7">
        <f t="shared" si="24"/>
        <v>3.6388009189839997E-2</v>
      </c>
      <c r="S39" s="2"/>
      <c r="T39" s="6">
        <v>99939.056299999793</v>
      </c>
      <c r="U39" s="2"/>
      <c r="V39" s="7">
        <f t="shared" si="25"/>
        <v>4.5066313266594424E-2</v>
      </c>
      <c r="W39" s="2"/>
      <c r="X39" s="6">
        <f t="shared" si="26"/>
        <v>4153.8437000002014</v>
      </c>
      <c r="Y39" s="2"/>
      <c r="Z39" s="7">
        <f t="shared" si="27"/>
        <v>4.1563767497774642E-2</v>
      </c>
    </row>
    <row r="40" spans="1:26" s="24" customFormat="1" hidden="1" outlineLevel="2" x14ac:dyDescent="0.3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"6004", " - ", "STAFF HOURLY")</f>
        <v xml:space="preserve">          6004 - STAFF HOURLY</v>
      </c>
      <c r="C41" s="11"/>
      <c r="D41" s="6">
        <v>21916.48</v>
      </c>
      <c r="E41" s="2"/>
      <c r="F41" s="7">
        <f t="shared" si="20"/>
        <v>4.5603808795965539E-2</v>
      </c>
      <c r="G41" s="2"/>
      <c r="H41" s="6">
        <v>26709.4656</v>
      </c>
      <c r="I41" s="2"/>
      <c r="J41" s="7">
        <f t="shared" si="21"/>
        <v>6.1316495867768592E-2</v>
      </c>
      <c r="K41" s="2"/>
      <c r="L41" s="6">
        <f t="shared" si="22"/>
        <v>-4792.9856</v>
      </c>
      <c r="M41" s="2"/>
      <c r="N41" s="7">
        <f t="shared" si="23"/>
        <v>-0.17944895161062302</v>
      </c>
      <c r="O41" s="11"/>
      <c r="P41" s="6">
        <v>173780.19</v>
      </c>
      <c r="Q41" s="2"/>
      <c r="R41" s="7">
        <f t="shared" si="24"/>
        <v>6.0748765292658206E-2</v>
      </c>
      <c r="S41" s="2"/>
      <c r="T41" s="6">
        <v>173611.5264</v>
      </c>
      <c r="U41" s="2"/>
      <c r="V41" s="7">
        <f t="shared" si="25"/>
        <v>7.8288025974025982E-2</v>
      </c>
      <c r="W41" s="2"/>
      <c r="X41" s="6">
        <f t="shared" si="26"/>
        <v>168.66359999999986</v>
      </c>
      <c r="Y41" s="2"/>
      <c r="Z41" s="7">
        <f t="shared" si="27"/>
        <v>9.7150001210979421E-4</v>
      </c>
    </row>
    <row r="42" spans="1:26" s="24" customFormat="1" hidden="1" outlineLevel="2" x14ac:dyDescent="0.3">
      <c r="A42" s="29"/>
      <c r="B42" s="11" t="str">
        <f>CONCATENATE("          ", "6005", " - ", "TEMPORARY WAGES-HOURLY")</f>
        <v xml:space="preserve">          6005 - TEMPORARY WAGES-HOURLY</v>
      </c>
      <c r="C42" s="11"/>
      <c r="D42" s="6">
        <v>17344.400000000001</v>
      </c>
      <c r="E42" s="2"/>
      <c r="F42" s="7">
        <f t="shared" si="20"/>
        <v>3.6090225313587986E-2</v>
      </c>
      <c r="G42" s="2"/>
      <c r="H42" s="6">
        <v>13375.815000000001</v>
      </c>
      <c r="I42" s="2"/>
      <c r="J42" s="7">
        <f t="shared" si="21"/>
        <v>3.0706646005509642E-2</v>
      </c>
      <c r="K42" s="2"/>
      <c r="L42" s="6">
        <f t="shared" si="22"/>
        <v>3968.5850000000009</v>
      </c>
      <c r="M42" s="2"/>
      <c r="N42" s="7">
        <f t="shared" si="23"/>
        <v>0.29669855631226966</v>
      </c>
      <c r="O42" s="11"/>
      <c r="P42" s="6">
        <v>111007.37</v>
      </c>
      <c r="Q42" s="2"/>
      <c r="R42" s="7">
        <f t="shared" si="24"/>
        <v>3.8805117349021583E-2</v>
      </c>
      <c r="S42" s="2"/>
      <c r="T42" s="6">
        <v>78912.895000000004</v>
      </c>
      <c r="U42" s="2"/>
      <c r="V42" s="7">
        <f t="shared" si="25"/>
        <v>3.5584819173881677E-2</v>
      </c>
      <c r="W42" s="2"/>
      <c r="X42" s="6">
        <f t="shared" si="26"/>
        <v>32094.474999999991</v>
      </c>
      <c r="Y42" s="2"/>
      <c r="Z42" s="7">
        <f t="shared" si="27"/>
        <v>0.40670761096776376</v>
      </c>
    </row>
    <row r="43" spans="1:26" s="24" customFormat="1" hidden="1" outlineLevel="2" x14ac:dyDescent="0.3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"6007", " - ", "STUDENT HOURLY")</f>
        <v xml:space="preserve">          6007 - STUDENT HOURLY</v>
      </c>
      <c r="C44" s="11"/>
      <c r="D44" s="6">
        <v>22918.31</v>
      </c>
      <c r="E44" s="2"/>
      <c r="F44" s="7">
        <f t="shared" si="20"/>
        <v>4.7688416532520962E-2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22918.31</v>
      </c>
      <c r="M44" s="2"/>
      <c r="N44" s="7">
        <f t="shared" si="23"/>
        <v>0</v>
      </c>
      <c r="O44" s="11"/>
      <c r="P44" s="6">
        <v>114821.62</v>
      </c>
      <c r="Q44" s="2"/>
      <c r="R44" s="7">
        <f t="shared" si="24"/>
        <v>4.013847403379401E-2</v>
      </c>
      <c r="S44" s="2"/>
      <c r="T44" s="6">
        <v>30264</v>
      </c>
      <c r="U44" s="2"/>
      <c r="V44" s="7">
        <f t="shared" si="25"/>
        <v>1.3647186147186147E-2</v>
      </c>
      <c r="W44" s="2"/>
      <c r="X44" s="6">
        <f t="shared" si="26"/>
        <v>84557.62</v>
      </c>
      <c r="Y44" s="2"/>
      <c r="Z44" s="7">
        <f t="shared" si="27"/>
        <v>2.7940001321702352</v>
      </c>
    </row>
    <row r="45" spans="1:26" s="24" customFormat="1" hidden="1" outlineLevel="2" x14ac:dyDescent="0.3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>
        <v>14793.94</v>
      </c>
      <c r="E45" s="2"/>
      <c r="F45" s="7">
        <f t="shared" si="20"/>
        <v>3.0783228470036544E-2</v>
      </c>
      <c r="G45" s="2"/>
      <c r="H45" s="6">
        <v>47171.1</v>
      </c>
      <c r="I45" s="2"/>
      <c r="J45" s="7">
        <f t="shared" si="21"/>
        <v>0.10828994490358126</v>
      </c>
      <c r="K45" s="2"/>
      <c r="L45" s="6">
        <f t="shared" si="22"/>
        <v>-32377.159999999996</v>
      </c>
      <c r="M45" s="2"/>
      <c r="N45" s="7">
        <f t="shared" si="23"/>
        <v>-0.68637704017926227</v>
      </c>
      <c r="O45" s="11"/>
      <c r="P45" s="6">
        <v>35402.5</v>
      </c>
      <c r="Q45" s="2"/>
      <c r="R45" s="7">
        <f t="shared" si="24"/>
        <v>1.2375738358171504E-2</v>
      </c>
      <c r="S45" s="2"/>
      <c r="T45" s="6">
        <v>243716.38</v>
      </c>
      <c r="U45" s="2"/>
      <c r="V45" s="7">
        <f t="shared" si="25"/>
        <v>0.10990096500721501</v>
      </c>
      <c r="W45" s="2"/>
      <c r="X45" s="6">
        <f t="shared" si="26"/>
        <v>-208313.88</v>
      </c>
      <c r="Y45" s="2"/>
      <c r="Z45" s="7">
        <f t="shared" si="27"/>
        <v>-0.85473893876152274</v>
      </c>
    </row>
    <row r="46" spans="1:26" s="24" customFormat="1" hidden="1" outlineLevel="2" x14ac:dyDescent="0.3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68.040000000000006</v>
      </c>
      <c r="E48" s="1"/>
      <c r="F48" s="5">
        <f t="shared" ref="F48:F68" si="28">IF(D$12=0,0,D48/D$12)</f>
        <v>1.4157762334451041E-4</v>
      </c>
      <c r="G48" s="1"/>
      <c r="H48" s="1">
        <f>SUM(OSRRefH22_2x_0)</f>
        <v>369</v>
      </c>
      <c r="I48" s="1"/>
      <c r="J48" s="5">
        <f t="shared" ref="J48:J68" si="29">IF(H$12=0,0,H48/H$12)</f>
        <v>8.4710743801652891E-4</v>
      </c>
      <c r="K48" s="1"/>
      <c r="L48" s="1">
        <f t="shared" ref="L48:L68" si="30">+D48-H48</f>
        <v>-300.95999999999998</v>
      </c>
      <c r="M48" s="1"/>
      <c r="N48" s="5">
        <f t="shared" ref="N48:N68" si="31">IF(H48=0,0,L48/H48)</f>
        <v>-0.81560975609756092</v>
      </c>
      <c r="O48" s="14"/>
      <c r="P48" s="1">
        <f>SUM(OSRRefP22_2x_0)</f>
        <v>1023.3</v>
      </c>
      <c r="Q48" s="1"/>
      <c r="R48" s="5">
        <f t="shared" ref="R48:R68" si="32">IF(P$12=0,0,P48/P$12)</f>
        <v>3.5771747932820844E-4</v>
      </c>
      <c r="S48" s="1"/>
      <c r="T48" s="1">
        <f>SUM(OSRRefT22_2x_0)</f>
        <v>2214</v>
      </c>
      <c r="U48" s="1"/>
      <c r="V48" s="5">
        <f t="shared" ref="V48:V68" si="33">IF(T$12=0,0,T48/T$12)</f>
        <v>9.9837662337662336E-4</v>
      </c>
      <c r="W48" s="1"/>
      <c r="X48" s="1">
        <f t="shared" ref="X48:X68" si="34">+P48-T48</f>
        <v>-1190.7</v>
      </c>
      <c r="Y48" s="1"/>
      <c r="Z48" s="5">
        <f t="shared" ref="Z48:Z68" si="35">IF(T48=0,0,X48/T48)</f>
        <v>-0.53780487804878052</v>
      </c>
    </row>
    <row r="49" spans="1:26" s="24" customFormat="1" hidden="1" outlineLevel="2" x14ac:dyDescent="0.3">
      <c r="A49" s="29"/>
      <c r="B49" s="11" t="str">
        <f>CONCATENATE("          ", "6362", " - ", "ADVERTISING EXPENSE")</f>
        <v xml:space="preserve">          6362 - ADVERTISING EXPENSE</v>
      </c>
      <c r="C49" s="11"/>
      <c r="D49" s="6">
        <v>68.040000000000006</v>
      </c>
      <c r="E49" s="2"/>
      <c r="F49" s="7">
        <f t="shared" si="28"/>
        <v>1.4157762334451041E-4</v>
      </c>
      <c r="G49" s="2"/>
      <c r="H49" s="6">
        <v>369</v>
      </c>
      <c r="I49" s="2"/>
      <c r="J49" s="7">
        <f t="shared" si="29"/>
        <v>8.4710743801652891E-4</v>
      </c>
      <c r="K49" s="2"/>
      <c r="L49" s="6">
        <f t="shared" si="30"/>
        <v>-300.95999999999998</v>
      </c>
      <c r="M49" s="2"/>
      <c r="N49" s="7">
        <f t="shared" si="31"/>
        <v>-0.81560975609756092</v>
      </c>
      <c r="O49" s="11"/>
      <c r="P49" s="6">
        <v>1023.3</v>
      </c>
      <c r="Q49" s="2"/>
      <c r="R49" s="7">
        <f t="shared" si="32"/>
        <v>3.5771747932820844E-4</v>
      </c>
      <c r="S49" s="2"/>
      <c r="T49" s="6">
        <v>2214</v>
      </c>
      <c r="U49" s="2"/>
      <c r="V49" s="7">
        <f t="shared" si="33"/>
        <v>9.9837662337662336E-4</v>
      </c>
      <c r="W49" s="2"/>
      <c r="X49" s="6">
        <f t="shared" si="34"/>
        <v>-1190.7</v>
      </c>
      <c r="Y49" s="2"/>
      <c r="Z49" s="7">
        <f t="shared" si="35"/>
        <v>-0.53780487804878052</v>
      </c>
    </row>
    <row r="50" spans="1:26" s="28" customFormat="1" outlineLevel="1" collapsed="1" x14ac:dyDescent="0.3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1.8365472910927457E-5</v>
      </c>
      <c r="K50" s="1"/>
      <c r="L50" s="1">
        <f t="shared" si="30"/>
        <v>-8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40</v>
      </c>
      <c r="U50" s="1"/>
      <c r="V50" s="5">
        <f t="shared" si="33"/>
        <v>1.8037518037518038E-5</v>
      </c>
      <c r="W50" s="1"/>
      <c r="X50" s="1">
        <f t="shared" si="34"/>
        <v>-40</v>
      </c>
      <c r="Y50" s="1"/>
      <c r="Z50" s="5">
        <f t="shared" si="35"/>
        <v>-1</v>
      </c>
    </row>
    <row r="51" spans="1:26" s="24" customFormat="1" hidden="1" outlineLevel="2" x14ac:dyDescent="0.3">
      <c r="A51" s="29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8</v>
      </c>
      <c r="I51" s="2"/>
      <c r="J51" s="7">
        <f t="shared" si="29"/>
        <v>1.8365472910927457E-5</v>
      </c>
      <c r="K51" s="2"/>
      <c r="L51" s="6">
        <f t="shared" si="30"/>
        <v>-8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40</v>
      </c>
      <c r="U51" s="2"/>
      <c r="V51" s="7">
        <f t="shared" si="33"/>
        <v>1.8037518037518038E-5</v>
      </c>
      <c r="W51" s="2"/>
      <c r="X51" s="6">
        <f t="shared" si="34"/>
        <v>-40</v>
      </c>
      <c r="Y51" s="2"/>
      <c r="Z51" s="7">
        <f t="shared" si="35"/>
        <v>-1</v>
      </c>
    </row>
    <row r="52" spans="1:26" s="28" customFormat="1" outlineLevel="1" collapsed="1" x14ac:dyDescent="0.3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68.28</v>
      </c>
      <c r="E52" s="1"/>
      <c r="F52" s="5">
        <f t="shared" si="28"/>
        <v>1.4207701531397958E-4</v>
      </c>
      <c r="G52" s="1"/>
      <c r="H52" s="1">
        <f>SUM(OSRRefH22_4x_0)</f>
        <v>135</v>
      </c>
      <c r="I52" s="1"/>
      <c r="J52" s="5">
        <f t="shared" si="29"/>
        <v>3.0991735537190085E-4</v>
      </c>
      <c r="K52" s="1"/>
      <c r="L52" s="1">
        <f t="shared" si="30"/>
        <v>-66.72</v>
      </c>
      <c r="M52" s="1"/>
      <c r="N52" s="5">
        <f t="shared" si="31"/>
        <v>-0.49422222222222223</v>
      </c>
      <c r="O52" s="14"/>
      <c r="P52" s="1">
        <f>SUM(OSRRefP22_4x_0)</f>
        <v>332.59</v>
      </c>
      <c r="Q52" s="1"/>
      <c r="R52" s="5">
        <f t="shared" si="32"/>
        <v>1.16264298299393E-4</v>
      </c>
      <c r="S52" s="1"/>
      <c r="T52" s="1">
        <f>SUM(OSRRefT22_4x_0)</f>
        <v>810</v>
      </c>
      <c r="U52" s="1"/>
      <c r="V52" s="5">
        <f t="shared" si="33"/>
        <v>3.6525974025974027E-4</v>
      </c>
      <c r="W52" s="1"/>
      <c r="X52" s="1">
        <f t="shared" si="34"/>
        <v>-477.41</v>
      </c>
      <c r="Y52" s="1"/>
      <c r="Z52" s="5">
        <f t="shared" si="35"/>
        <v>-0.58939506172839506</v>
      </c>
    </row>
    <row r="53" spans="1:26" s="24" customFormat="1" hidden="1" outlineLevel="2" x14ac:dyDescent="0.3">
      <c r="A53" s="29"/>
      <c r="B53" s="11" t="str">
        <f>CONCATENATE("          ", "6381", " - ", "BANK/CREDIT CARD FEES")</f>
        <v xml:space="preserve">          6381 - BANK/CREDIT CARD FEES</v>
      </c>
      <c r="C53" s="11"/>
      <c r="D53" s="6">
        <v>68.28</v>
      </c>
      <c r="E53" s="2"/>
      <c r="F53" s="7">
        <f t="shared" si="28"/>
        <v>1.4207701531397958E-4</v>
      </c>
      <c r="G53" s="2"/>
      <c r="H53" s="6">
        <v>135</v>
      </c>
      <c r="I53" s="2"/>
      <c r="J53" s="7">
        <f t="shared" si="29"/>
        <v>3.0991735537190085E-4</v>
      </c>
      <c r="K53" s="2"/>
      <c r="L53" s="6">
        <f t="shared" si="30"/>
        <v>-66.72</v>
      </c>
      <c r="M53" s="2"/>
      <c r="N53" s="7">
        <f t="shared" si="31"/>
        <v>-0.49422222222222223</v>
      </c>
      <c r="O53" s="11"/>
      <c r="P53" s="6">
        <v>332.59</v>
      </c>
      <c r="Q53" s="2"/>
      <c r="R53" s="7">
        <f t="shared" si="32"/>
        <v>1.16264298299393E-4</v>
      </c>
      <c r="S53" s="2"/>
      <c r="T53" s="6">
        <v>810</v>
      </c>
      <c r="U53" s="2"/>
      <c r="V53" s="7">
        <f t="shared" si="33"/>
        <v>3.6525974025974027E-4</v>
      </c>
      <c r="W53" s="2"/>
      <c r="X53" s="6">
        <f t="shared" si="34"/>
        <v>-477.41</v>
      </c>
      <c r="Y53" s="2"/>
      <c r="Z53" s="7">
        <f t="shared" si="35"/>
        <v>-0.58939506172839506</v>
      </c>
    </row>
    <row r="54" spans="1:26" s="28" customFormat="1" outlineLevel="1" collapsed="1" x14ac:dyDescent="0.3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5.6911957320630575E-4</v>
      </c>
      <c r="G54" s="1"/>
      <c r="H54" s="1">
        <f>SUM(OSRRefH22_5x_0)</f>
        <v>273</v>
      </c>
      <c r="I54" s="1"/>
      <c r="J54" s="5">
        <f t="shared" si="29"/>
        <v>6.2672176308539945E-4</v>
      </c>
      <c r="K54" s="1"/>
      <c r="L54" s="1">
        <f t="shared" si="30"/>
        <v>0.50999999999999091</v>
      </c>
      <c r="M54" s="1"/>
      <c r="N54" s="5">
        <f t="shared" si="31"/>
        <v>1.8681318681318347E-3</v>
      </c>
      <c r="O54" s="14"/>
      <c r="P54" s="1">
        <f>SUM(OSRRefP22_5x_0)</f>
        <v>1641.06</v>
      </c>
      <c r="Q54" s="1"/>
      <c r="R54" s="5">
        <f t="shared" si="32"/>
        <v>5.7366935075378654E-4</v>
      </c>
      <c r="S54" s="1"/>
      <c r="T54" s="1">
        <f>SUM(OSRRefT22_5x_0)</f>
        <v>1638</v>
      </c>
      <c r="U54" s="1"/>
      <c r="V54" s="5">
        <f t="shared" si="33"/>
        <v>7.3863636363636362E-4</v>
      </c>
      <c r="W54" s="1"/>
      <c r="X54" s="1">
        <f t="shared" si="34"/>
        <v>3.0599999999999454</v>
      </c>
      <c r="Y54" s="1"/>
      <c r="Z54" s="5">
        <f t="shared" si="35"/>
        <v>1.8681318681318347E-3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273.51</v>
      </c>
      <c r="E55" s="2"/>
      <c r="F55" s="7">
        <f t="shared" si="28"/>
        <v>5.6911957320630575E-4</v>
      </c>
      <c r="G55" s="2"/>
      <c r="H55" s="6">
        <v>273</v>
      </c>
      <c r="I55" s="2"/>
      <c r="J55" s="7">
        <f t="shared" si="29"/>
        <v>6.2672176308539945E-4</v>
      </c>
      <c r="K55" s="2"/>
      <c r="L55" s="6">
        <f t="shared" si="30"/>
        <v>0.50999999999999091</v>
      </c>
      <c r="M55" s="2"/>
      <c r="N55" s="7">
        <f t="shared" si="31"/>
        <v>1.8681318681318347E-3</v>
      </c>
      <c r="O55" s="11"/>
      <c r="P55" s="6">
        <v>1641.06</v>
      </c>
      <c r="Q55" s="2"/>
      <c r="R55" s="7">
        <f t="shared" si="32"/>
        <v>5.7366935075378654E-4</v>
      </c>
      <c r="S55" s="2"/>
      <c r="T55" s="6">
        <v>1638</v>
      </c>
      <c r="U55" s="2"/>
      <c r="V55" s="7">
        <f t="shared" si="33"/>
        <v>7.3863636363636362E-4</v>
      </c>
      <c r="W55" s="2"/>
      <c r="X55" s="6">
        <f t="shared" si="34"/>
        <v>3.0599999999999454</v>
      </c>
      <c r="Y55" s="2"/>
      <c r="Z55" s="7">
        <f t="shared" si="35"/>
        <v>1.8681318681318347E-3</v>
      </c>
    </row>
    <row r="56" spans="1:26" s="28" customFormat="1" outlineLevel="1" collapsed="1" x14ac:dyDescent="0.3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1457.04</v>
      </c>
      <c r="E56" s="1"/>
      <c r="F56" s="5">
        <f t="shared" si="28"/>
        <v>3.0318086466473463E-3</v>
      </c>
      <c r="G56" s="1"/>
      <c r="H56" s="1">
        <f>SUM(OSRRefH22_6x_0)</f>
        <v>6500</v>
      </c>
      <c r="I56" s="1"/>
      <c r="J56" s="5">
        <f t="shared" si="29"/>
        <v>1.4921946740128558E-2</v>
      </c>
      <c r="K56" s="1"/>
      <c r="L56" s="1">
        <f t="shared" si="30"/>
        <v>-5042.96</v>
      </c>
      <c r="M56" s="1"/>
      <c r="N56" s="5">
        <f t="shared" si="31"/>
        <v>-0.77583999999999997</v>
      </c>
      <c r="O56" s="14"/>
      <c r="P56" s="1">
        <f>SUM(OSRRefP22_6x_0)</f>
        <v>12120</v>
      </c>
      <c r="Q56" s="1"/>
      <c r="R56" s="5">
        <f t="shared" si="32"/>
        <v>4.2368179902842629E-3</v>
      </c>
      <c r="S56" s="1"/>
      <c r="T56" s="1">
        <f>SUM(OSRRefT22_6x_0)</f>
        <v>32500</v>
      </c>
      <c r="U56" s="1"/>
      <c r="V56" s="5">
        <f t="shared" si="33"/>
        <v>1.4655483405483406E-2</v>
      </c>
      <c r="W56" s="1"/>
      <c r="X56" s="1">
        <f t="shared" si="34"/>
        <v>-20380</v>
      </c>
      <c r="Y56" s="1"/>
      <c r="Z56" s="5">
        <f t="shared" si="35"/>
        <v>-0.62707692307692309</v>
      </c>
    </row>
    <row r="57" spans="1:26" s="24" customFormat="1" hidden="1" outlineLevel="2" x14ac:dyDescent="0.3">
      <c r="A57" s="29"/>
      <c r="B57" s="11" t="str">
        <f>CONCATENATE("          ", "6399", " - ", "DONATION-ON CAMPUS")</f>
        <v xml:space="preserve">          6399 - DONATION-ON CAMPUS</v>
      </c>
      <c r="C57" s="11"/>
      <c r="D57" s="6">
        <v>1457.04</v>
      </c>
      <c r="E57" s="2"/>
      <c r="F57" s="7">
        <f t="shared" si="28"/>
        <v>3.0318086466473463E-3</v>
      </c>
      <c r="G57" s="2"/>
      <c r="H57" s="6">
        <v>6500</v>
      </c>
      <c r="I57" s="2"/>
      <c r="J57" s="7">
        <f t="shared" si="29"/>
        <v>1.4921946740128558E-2</v>
      </c>
      <c r="K57" s="2"/>
      <c r="L57" s="6">
        <f t="shared" si="30"/>
        <v>-5042.96</v>
      </c>
      <c r="M57" s="2"/>
      <c r="N57" s="7">
        <f t="shared" si="31"/>
        <v>-0.77583999999999997</v>
      </c>
      <c r="O57" s="11"/>
      <c r="P57" s="6">
        <v>12120</v>
      </c>
      <c r="Q57" s="2"/>
      <c r="R57" s="7">
        <f t="shared" si="32"/>
        <v>4.2368179902842629E-3</v>
      </c>
      <c r="S57" s="2"/>
      <c r="T57" s="6">
        <v>32500</v>
      </c>
      <c r="U57" s="2"/>
      <c r="V57" s="7">
        <f t="shared" si="33"/>
        <v>1.4655483405483406E-2</v>
      </c>
      <c r="W57" s="2"/>
      <c r="X57" s="6">
        <f t="shared" si="34"/>
        <v>-20380</v>
      </c>
      <c r="Y57" s="2"/>
      <c r="Z57" s="7">
        <f t="shared" si="35"/>
        <v>-0.62707692307692309</v>
      </c>
    </row>
    <row r="58" spans="1:26" s="28" customFormat="1" outlineLevel="1" collapsed="1" x14ac:dyDescent="0.3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113.4</v>
      </c>
      <c r="E58" s="1"/>
      <c r="F58" s="5">
        <f t="shared" si="28"/>
        <v>2.3596270557418403E-4</v>
      </c>
      <c r="G58" s="1"/>
      <c r="H58" s="1">
        <f>SUM(OSRRefH22_7x_0)</f>
        <v>150</v>
      </c>
      <c r="I58" s="1"/>
      <c r="J58" s="5">
        <f t="shared" si="29"/>
        <v>3.4435261707988982E-4</v>
      </c>
      <c r="K58" s="1"/>
      <c r="L58" s="1">
        <f t="shared" si="30"/>
        <v>-36.599999999999994</v>
      </c>
      <c r="M58" s="1"/>
      <c r="N58" s="5">
        <f t="shared" si="31"/>
        <v>-0.24399999999999997</v>
      </c>
      <c r="O58" s="14"/>
      <c r="P58" s="1">
        <f>SUM(OSRRefP22_7x_0)</f>
        <v>113.4</v>
      </c>
      <c r="Q58" s="1"/>
      <c r="R58" s="5">
        <f t="shared" si="32"/>
        <v>3.9641514859590388E-5</v>
      </c>
      <c r="S58" s="1"/>
      <c r="T58" s="1">
        <f>SUM(OSRRefT22_7x_0)</f>
        <v>900</v>
      </c>
      <c r="U58" s="1"/>
      <c r="V58" s="5">
        <f t="shared" si="33"/>
        <v>4.0584415584415587E-4</v>
      </c>
      <c r="W58" s="1"/>
      <c r="X58" s="1">
        <f t="shared" si="34"/>
        <v>-786.6</v>
      </c>
      <c r="Y58" s="1"/>
      <c r="Z58" s="5">
        <f t="shared" si="35"/>
        <v>-0.874</v>
      </c>
    </row>
    <row r="59" spans="1:26" s="24" customFormat="1" hidden="1" outlineLevel="2" x14ac:dyDescent="0.3">
      <c r="A59" s="29"/>
      <c r="B59" s="11" t="str">
        <f>CONCATENATE("          ", "6277", " - ", "EMPLOYEE APPRECIATION")</f>
        <v xml:space="preserve">          6277 - EMPLOYEE APPRECIATION</v>
      </c>
      <c r="C59" s="11"/>
      <c r="D59" s="6">
        <v>113.4</v>
      </c>
      <c r="E59" s="2"/>
      <c r="F59" s="7">
        <f t="shared" si="28"/>
        <v>2.3596270557418403E-4</v>
      </c>
      <c r="G59" s="2"/>
      <c r="H59" s="6">
        <v>150</v>
      </c>
      <c r="I59" s="2"/>
      <c r="J59" s="7">
        <f t="shared" si="29"/>
        <v>3.4435261707988982E-4</v>
      </c>
      <c r="K59" s="2"/>
      <c r="L59" s="6">
        <f t="shared" si="30"/>
        <v>-36.599999999999994</v>
      </c>
      <c r="M59" s="2"/>
      <c r="N59" s="7">
        <f t="shared" si="31"/>
        <v>-0.24399999999999997</v>
      </c>
      <c r="O59" s="11"/>
      <c r="P59" s="6">
        <v>113.4</v>
      </c>
      <c r="Q59" s="2"/>
      <c r="R59" s="7">
        <f t="shared" si="32"/>
        <v>3.9641514859590388E-5</v>
      </c>
      <c r="S59" s="2"/>
      <c r="T59" s="6">
        <v>900</v>
      </c>
      <c r="U59" s="2"/>
      <c r="V59" s="7">
        <f t="shared" si="33"/>
        <v>4.0584415584415587E-4</v>
      </c>
      <c r="W59" s="2"/>
      <c r="X59" s="6">
        <f t="shared" si="34"/>
        <v>-786.6</v>
      </c>
      <c r="Y59" s="2"/>
      <c r="Z59" s="7">
        <f t="shared" si="35"/>
        <v>-0.874</v>
      </c>
    </row>
    <row r="60" spans="1:26" s="28" customFormat="1" outlineLevel="1" collapsed="1" x14ac:dyDescent="0.3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543.94000000000005</v>
      </c>
      <c r="E60" s="1"/>
      <c r="F60" s="5">
        <f t="shared" si="28"/>
        <v>1.1318302828044239E-3</v>
      </c>
      <c r="G60" s="1"/>
      <c r="H60" s="1">
        <f>SUM(OSRRefH22_8x_0)</f>
        <v>295</v>
      </c>
      <c r="I60" s="1"/>
      <c r="J60" s="5">
        <f t="shared" si="29"/>
        <v>6.7722681359044996E-4</v>
      </c>
      <c r="K60" s="1"/>
      <c r="L60" s="1">
        <f t="shared" si="30"/>
        <v>248.94000000000005</v>
      </c>
      <c r="M60" s="1"/>
      <c r="N60" s="5">
        <f t="shared" si="31"/>
        <v>0.84386440677966124</v>
      </c>
      <c r="O60" s="14"/>
      <c r="P60" s="1">
        <f>SUM(OSRRefP22_8x_0)</f>
        <v>1968.65</v>
      </c>
      <c r="Q60" s="1"/>
      <c r="R60" s="5">
        <f t="shared" si="32"/>
        <v>6.8818578684596665E-4</v>
      </c>
      <c r="S60" s="1"/>
      <c r="T60" s="1">
        <f>SUM(OSRRefT22_8x_0)</f>
        <v>1770</v>
      </c>
      <c r="U60" s="1"/>
      <c r="V60" s="5">
        <f t="shared" si="33"/>
        <v>7.9816017316017317E-4</v>
      </c>
      <c r="W60" s="1"/>
      <c r="X60" s="1">
        <f t="shared" si="34"/>
        <v>198.65000000000009</v>
      </c>
      <c r="Y60" s="1"/>
      <c r="Z60" s="5">
        <f t="shared" si="35"/>
        <v>0.11223163841807915</v>
      </c>
    </row>
    <row r="61" spans="1:26" s="24" customFormat="1" hidden="1" outlineLevel="2" x14ac:dyDescent="0.3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543.94000000000005</v>
      </c>
      <c r="E61" s="2"/>
      <c r="F61" s="7">
        <f t="shared" si="28"/>
        <v>1.1318302828044239E-3</v>
      </c>
      <c r="G61" s="2"/>
      <c r="H61" s="6">
        <v>295</v>
      </c>
      <c r="I61" s="2"/>
      <c r="J61" s="7">
        <f t="shared" si="29"/>
        <v>6.7722681359044996E-4</v>
      </c>
      <c r="K61" s="2"/>
      <c r="L61" s="6">
        <f t="shared" si="30"/>
        <v>248.94000000000005</v>
      </c>
      <c r="M61" s="2"/>
      <c r="N61" s="7">
        <f t="shared" si="31"/>
        <v>0.84386440677966124</v>
      </c>
      <c r="O61" s="11"/>
      <c r="P61" s="6">
        <v>1968.65</v>
      </c>
      <c r="Q61" s="2"/>
      <c r="R61" s="7">
        <f t="shared" si="32"/>
        <v>6.8818578684596665E-4</v>
      </c>
      <c r="S61" s="2"/>
      <c r="T61" s="6">
        <v>1770</v>
      </c>
      <c r="U61" s="2"/>
      <c r="V61" s="7">
        <f t="shared" si="33"/>
        <v>7.9816017316017317E-4</v>
      </c>
      <c r="W61" s="2"/>
      <c r="X61" s="6">
        <f t="shared" si="34"/>
        <v>198.65000000000009</v>
      </c>
      <c r="Y61" s="2"/>
      <c r="Z61" s="7">
        <f t="shared" si="35"/>
        <v>0.11223163841807915</v>
      </c>
    </row>
    <row r="62" spans="1:26" s="28" customFormat="1" outlineLevel="1" collapsed="1" x14ac:dyDescent="0.3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180</v>
      </c>
      <c r="I62" s="1"/>
      <c r="J62" s="5">
        <f t="shared" si="29"/>
        <v>4.1322314049586776E-4</v>
      </c>
      <c r="K62" s="1"/>
      <c r="L62" s="1">
        <f t="shared" si="30"/>
        <v>-180</v>
      </c>
      <c r="M62" s="1"/>
      <c r="N62" s="5">
        <f t="shared" si="31"/>
        <v>-1</v>
      </c>
      <c r="O62" s="14"/>
      <c r="P62" s="1">
        <f>SUM(OSRRefP22_9x_0)</f>
        <v>1557.93</v>
      </c>
      <c r="Q62" s="1"/>
      <c r="R62" s="5">
        <f t="shared" si="32"/>
        <v>5.4460939369666364E-4</v>
      </c>
      <c r="S62" s="1"/>
      <c r="T62" s="1">
        <f>SUM(OSRRefT22_9x_0)</f>
        <v>2680</v>
      </c>
      <c r="U62" s="1"/>
      <c r="V62" s="5">
        <f t="shared" si="33"/>
        <v>1.2085137085137085E-3</v>
      </c>
      <c r="W62" s="1"/>
      <c r="X62" s="1">
        <f t="shared" si="34"/>
        <v>-1122.07</v>
      </c>
      <c r="Y62" s="1"/>
      <c r="Z62" s="5">
        <f t="shared" si="35"/>
        <v>-0.41868283582089549</v>
      </c>
    </row>
    <row r="63" spans="1:26" s="24" customFormat="1" hidden="1" outlineLevel="2" x14ac:dyDescent="0.3">
      <c r="A63" s="29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180</v>
      </c>
      <c r="I63" s="2"/>
      <c r="J63" s="7">
        <f t="shared" si="29"/>
        <v>4.1322314049586776E-4</v>
      </c>
      <c r="K63" s="2"/>
      <c r="L63" s="6">
        <f t="shared" si="30"/>
        <v>-180</v>
      </c>
      <c r="M63" s="2"/>
      <c r="N63" s="7">
        <f t="shared" si="31"/>
        <v>-1</v>
      </c>
      <c r="O63" s="11"/>
      <c r="P63" s="6">
        <v>1557.93</v>
      </c>
      <c r="Q63" s="2"/>
      <c r="R63" s="7">
        <f t="shared" si="32"/>
        <v>5.4460939369666364E-4</v>
      </c>
      <c r="S63" s="2"/>
      <c r="T63" s="6">
        <v>2680</v>
      </c>
      <c r="U63" s="2"/>
      <c r="V63" s="7">
        <f t="shared" si="33"/>
        <v>1.2085137085137085E-3</v>
      </c>
      <c r="W63" s="2"/>
      <c r="X63" s="6">
        <f t="shared" si="34"/>
        <v>-1122.07</v>
      </c>
      <c r="Y63" s="2"/>
      <c r="Z63" s="7">
        <f t="shared" si="35"/>
        <v>-0.41868283582089549</v>
      </c>
    </row>
    <row r="64" spans="1:26" s="28" customFormat="1" outlineLevel="1" collapsed="1" x14ac:dyDescent="0.3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38279.85</v>
      </c>
      <c r="E64" s="1"/>
      <c r="F64" s="5">
        <f t="shared" si="28"/>
        <v>7.9652707010352097E-2</v>
      </c>
      <c r="G64" s="1"/>
      <c r="H64" s="1">
        <f>SUM(OSRRefH22_10x_0)</f>
        <v>34848</v>
      </c>
      <c r="I64" s="1"/>
      <c r="J64" s="5">
        <f t="shared" si="29"/>
        <v>0.08</v>
      </c>
      <c r="K64" s="1"/>
      <c r="L64" s="1">
        <f t="shared" si="30"/>
        <v>3431.8499999999985</v>
      </c>
      <c r="M64" s="1"/>
      <c r="N64" s="5">
        <f t="shared" si="31"/>
        <v>9.8480544077134941E-2</v>
      </c>
      <c r="O64" s="14"/>
      <c r="P64" s="1">
        <f>SUM(OSRRefP22_10x_0)</f>
        <v>224261.63</v>
      </c>
      <c r="Q64" s="1"/>
      <c r="R64" s="5">
        <f t="shared" si="32"/>
        <v>7.8395685520996128E-2</v>
      </c>
      <c r="S64" s="1"/>
      <c r="T64" s="1">
        <f>SUM(OSRRefT22_10x_0)</f>
        <v>175248</v>
      </c>
      <c r="U64" s="1"/>
      <c r="V64" s="5">
        <f t="shared" si="33"/>
        <v>7.9025974025974027E-2</v>
      </c>
      <c r="W64" s="1"/>
      <c r="X64" s="1">
        <f t="shared" si="34"/>
        <v>49013.630000000005</v>
      </c>
      <c r="Y64" s="1"/>
      <c r="Z64" s="5">
        <f t="shared" si="35"/>
        <v>0.27968153702182053</v>
      </c>
    </row>
    <row r="65" spans="1:26" s="24" customFormat="1" hidden="1" outlineLevel="2" x14ac:dyDescent="0.3">
      <c r="A65" s="29"/>
      <c r="B65" s="11" t="str">
        <f>CONCATENATE("          ", "6387", " - ", "COMMISSION DUE HOUSING")</f>
        <v xml:space="preserve">          6387 - COMMISSION DUE HOUSING</v>
      </c>
      <c r="C65" s="11"/>
      <c r="D65" s="6">
        <v>38279.85</v>
      </c>
      <c r="E65" s="2"/>
      <c r="F65" s="7">
        <f t="shared" si="28"/>
        <v>7.9652707010352097E-2</v>
      </c>
      <c r="G65" s="2"/>
      <c r="H65" s="6">
        <v>34848</v>
      </c>
      <c r="I65" s="2"/>
      <c r="J65" s="7">
        <f t="shared" si="29"/>
        <v>0.08</v>
      </c>
      <c r="K65" s="2"/>
      <c r="L65" s="6">
        <f t="shared" si="30"/>
        <v>3431.8499999999985</v>
      </c>
      <c r="M65" s="2"/>
      <c r="N65" s="7">
        <f t="shared" si="31"/>
        <v>9.8480544077134941E-2</v>
      </c>
      <c r="O65" s="11"/>
      <c r="P65" s="6">
        <v>224261.63</v>
      </c>
      <c r="Q65" s="2"/>
      <c r="R65" s="7">
        <f t="shared" si="32"/>
        <v>7.8395685520996128E-2</v>
      </c>
      <c r="S65" s="2"/>
      <c r="T65" s="6">
        <v>175248</v>
      </c>
      <c r="U65" s="2"/>
      <c r="V65" s="7">
        <f t="shared" si="33"/>
        <v>7.9025974025974027E-2</v>
      </c>
      <c r="W65" s="2"/>
      <c r="X65" s="6">
        <f t="shared" si="34"/>
        <v>49013.630000000005</v>
      </c>
      <c r="Y65" s="2"/>
      <c r="Z65" s="7">
        <f t="shared" si="35"/>
        <v>0.27968153702182053</v>
      </c>
    </row>
    <row r="66" spans="1:26" s="28" customFormat="1" outlineLevel="1" collapsed="1" x14ac:dyDescent="0.3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105.7</v>
      </c>
      <c r="E66" s="1"/>
      <c r="F66" s="5">
        <f t="shared" si="28"/>
        <v>2.1994054655371473E-4</v>
      </c>
      <c r="G66" s="1"/>
      <c r="H66" s="1">
        <f>SUM(OSRRefH22_11x_0)</f>
        <v>200</v>
      </c>
      <c r="I66" s="1"/>
      <c r="J66" s="5">
        <f t="shared" si="29"/>
        <v>4.591368227731864E-4</v>
      </c>
      <c r="K66" s="1"/>
      <c r="L66" s="1">
        <f t="shared" si="30"/>
        <v>-94.3</v>
      </c>
      <c r="M66" s="1"/>
      <c r="N66" s="5">
        <f t="shared" si="31"/>
        <v>-0.47149999999999997</v>
      </c>
      <c r="O66" s="14"/>
      <c r="P66" s="1">
        <f>SUM(OSRRefP22_11x_0)</f>
        <v>2112.96</v>
      </c>
      <c r="Q66" s="1"/>
      <c r="R66" s="5">
        <f t="shared" si="32"/>
        <v>7.3863258587054763E-4</v>
      </c>
      <c r="S66" s="1"/>
      <c r="T66" s="1">
        <f>SUM(OSRRefT22_11x_0)</f>
        <v>3200</v>
      </c>
      <c r="U66" s="1"/>
      <c r="V66" s="5">
        <f t="shared" si="33"/>
        <v>1.443001443001443E-3</v>
      </c>
      <c r="W66" s="1"/>
      <c r="X66" s="1">
        <f t="shared" si="34"/>
        <v>-1087.04</v>
      </c>
      <c r="Y66" s="1"/>
      <c r="Z66" s="5">
        <f t="shared" si="35"/>
        <v>-0.3397</v>
      </c>
    </row>
    <row r="67" spans="1:26" s="24" customFormat="1" hidden="1" outlineLevel="2" x14ac:dyDescent="0.3">
      <c r="A67" s="29"/>
      <c r="B67" s="11" t="str">
        <f>CONCATENATE("          ", "6373", " - ", "MAINTENANCE CONTRACTS")</f>
        <v xml:space="preserve">          6373 - MAINTENANCE CONTRACTS</v>
      </c>
      <c r="C67" s="11"/>
      <c r="D67" s="6">
        <v>105.7</v>
      </c>
      <c r="E67" s="2"/>
      <c r="F67" s="7">
        <f t="shared" si="28"/>
        <v>2.1994054655371473E-4</v>
      </c>
      <c r="G67" s="2"/>
      <c r="H67" s="6"/>
      <c r="I67" s="2"/>
      <c r="J67" s="7">
        <f t="shared" si="29"/>
        <v>0</v>
      </c>
      <c r="K67" s="2"/>
      <c r="L67" s="6">
        <f t="shared" si="30"/>
        <v>105.7</v>
      </c>
      <c r="M67" s="2"/>
      <c r="N67" s="7">
        <f t="shared" si="31"/>
        <v>0</v>
      </c>
      <c r="O67" s="11"/>
      <c r="P67" s="6">
        <v>268.43</v>
      </c>
      <c r="Q67" s="2"/>
      <c r="R67" s="7">
        <f t="shared" si="32"/>
        <v>9.3835730456436045E-5</v>
      </c>
      <c r="S67" s="2"/>
      <c r="T67" s="6">
        <v>2000</v>
      </c>
      <c r="U67" s="2"/>
      <c r="V67" s="7">
        <f t="shared" si="33"/>
        <v>9.0187590187590188E-4</v>
      </c>
      <c r="W67" s="2"/>
      <c r="X67" s="6">
        <f t="shared" si="34"/>
        <v>-1731.57</v>
      </c>
      <c r="Y67" s="2"/>
      <c r="Z67" s="7">
        <f t="shared" si="35"/>
        <v>-0.86578499999999992</v>
      </c>
    </row>
    <row r="68" spans="1:26" s="24" customFormat="1" hidden="1" outlineLevel="2" x14ac:dyDescent="0.3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8"/>
        <v>0</v>
      </c>
      <c r="G68" s="2"/>
      <c r="H68" s="6">
        <v>200</v>
      </c>
      <c r="I68" s="2"/>
      <c r="J68" s="7">
        <f t="shared" si="29"/>
        <v>4.591368227731864E-4</v>
      </c>
      <c r="K68" s="2"/>
      <c r="L68" s="6">
        <f t="shared" si="30"/>
        <v>-200</v>
      </c>
      <c r="M68" s="2"/>
      <c r="N68" s="7">
        <f t="shared" si="31"/>
        <v>-1</v>
      </c>
      <c r="O68" s="11"/>
      <c r="P68" s="6">
        <v>1844.53</v>
      </c>
      <c r="Q68" s="2"/>
      <c r="R68" s="7">
        <f t="shared" si="32"/>
        <v>6.4479685541411161E-4</v>
      </c>
      <c r="S68" s="2"/>
      <c r="T68" s="6">
        <v>1200</v>
      </c>
      <c r="U68" s="2"/>
      <c r="V68" s="7">
        <f t="shared" si="33"/>
        <v>5.4112554112554113E-4</v>
      </c>
      <c r="W68" s="2"/>
      <c r="X68" s="6">
        <f t="shared" si="34"/>
        <v>644.53</v>
      </c>
      <c r="Y68" s="2"/>
      <c r="Z68" s="7">
        <f t="shared" si="35"/>
        <v>0.5371083333333333</v>
      </c>
    </row>
    <row r="69" spans="1:26" s="28" customFormat="1" outlineLevel="1" collapsed="1" x14ac:dyDescent="0.3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6140.6100000000006</v>
      </c>
      <c r="E69" s="1"/>
      <c r="F69" s="5">
        <f t="shared" ref="F69:F73" si="36">IF(D$12=0,0,D69/D$12)</f>
        <v>1.2777380506842066E-2</v>
      </c>
      <c r="G69" s="1"/>
      <c r="H69" s="1">
        <f>SUM(OSRRefH22_12x_0)</f>
        <v>7150</v>
      </c>
      <c r="I69" s="1"/>
      <c r="J69" s="5">
        <f t="shared" ref="J69:J73" si="37">IF(H$12=0,0,H69/H$12)</f>
        <v>1.6414141414141416E-2</v>
      </c>
      <c r="K69" s="1"/>
      <c r="L69" s="1">
        <f t="shared" ref="L69:L73" si="38">+D69-H69</f>
        <v>-1009.3899999999994</v>
      </c>
      <c r="M69" s="1"/>
      <c r="N69" s="5">
        <f t="shared" ref="N69:N73" si="39">IF(H69=0,0,L69/H69)</f>
        <v>-0.14117342657342649</v>
      </c>
      <c r="O69" s="14"/>
      <c r="P69" s="1">
        <f>SUM(OSRRefP22_12x_0)</f>
        <v>39184.25</v>
      </c>
      <c r="Q69" s="1"/>
      <c r="R69" s="5">
        <f t="shared" ref="R69:R73" si="40">IF(P$12=0,0,P69/P$12)</f>
        <v>1.3697733938597042E-2</v>
      </c>
      <c r="S69" s="1"/>
      <c r="T69" s="1">
        <f>SUM(OSRRefT22_12x_0)</f>
        <v>42900</v>
      </c>
      <c r="U69" s="1"/>
      <c r="V69" s="5">
        <f t="shared" ref="V69:V73" si="41">IF(T$12=0,0,T69/T$12)</f>
        <v>1.9345238095238096E-2</v>
      </c>
      <c r="W69" s="1"/>
      <c r="X69" s="1">
        <f t="shared" ref="X69:X73" si="42">+P69-T69</f>
        <v>-3715.75</v>
      </c>
      <c r="Y69" s="1"/>
      <c r="Z69" s="5">
        <f t="shared" ref="Z69:Z73" si="43">IF(T69=0,0,X69/T69)</f>
        <v>-8.6614219114219113E-2</v>
      </c>
    </row>
    <row r="70" spans="1:26" s="24" customFormat="1" hidden="1" outlineLevel="2" x14ac:dyDescent="0.3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459.25</v>
      </c>
      <c r="E70" s="2"/>
      <c r="F70" s="7">
        <f t="shared" si="36"/>
        <v>9.5560734157798945E-4</v>
      </c>
      <c r="G70" s="2"/>
      <c r="H70" s="6">
        <v>450</v>
      </c>
      <c r="I70" s="2"/>
      <c r="J70" s="7">
        <f t="shared" si="37"/>
        <v>1.0330578512396695E-3</v>
      </c>
      <c r="K70" s="2"/>
      <c r="L70" s="6">
        <f t="shared" si="38"/>
        <v>9.25</v>
      </c>
      <c r="M70" s="2"/>
      <c r="N70" s="7">
        <f t="shared" si="39"/>
        <v>2.0555555555555556E-2</v>
      </c>
      <c r="O70" s="11"/>
      <c r="P70" s="6">
        <v>3659.05</v>
      </c>
      <c r="Q70" s="2"/>
      <c r="R70" s="7">
        <f t="shared" si="40"/>
        <v>1.2791030418605309E-3</v>
      </c>
      <c r="S70" s="2"/>
      <c r="T70" s="6">
        <v>2700</v>
      </c>
      <c r="U70" s="2"/>
      <c r="V70" s="7">
        <f t="shared" si="41"/>
        <v>1.2175324675324675E-3</v>
      </c>
      <c r="W70" s="2"/>
      <c r="X70" s="6">
        <f t="shared" si="42"/>
        <v>959.05000000000018</v>
      </c>
      <c r="Y70" s="2"/>
      <c r="Z70" s="7">
        <f t="shared" si="43"/>
        <v>0.35520370370370374</v>
      </c>
    </row>
    <row r="71" spans="1:26" s="24" customFormat="1" hidden="1" outlineLevel="2" x14ac:dyDescent="0.3">
      <c r="A71" s="29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36"/>
        <v>0</v>
      </c>
      <c r="G71" s="2"/>
      <c r="H71" s="6">
        <v>50</v>
      </c>
      <c r="I71" s="2"/>
      <c r="J71" s="7">
        <f t="shared" si="37"/>
        <v>1.147842056932966E-4</v>
      </c>
      <c r="K71" s="2"/>
      <c r="L71" s="6">
        <f t="shared" si="38"/>
        <v>-50</v>
      </c>
      <c r="M71" s="2"/>
      <c r="N71" s="7">
        <f t="shared" si="39"/>
        <v>-1</v>
      </c>
      <c r="O71" s="11"/>
      <c r="P71" s="6"/>
      <c r="Q71" s="2"/>
      <c r="R71" s="7">
        <f t="shared" si="40"/>
        <v>0</v>
      </c>
      <c r="S71" s="2"/>
      <c r="T71" s="6">
        <v>300</v>
      </c>
      <c r="U71" s="2"/>
      <c r="V71" s="7">
        <f t="shared" si="41"/>
        <v>1.3528138528138528E-4</v>
      </c>
      <c r="W71" s="2"/>
      <c r="X71" s="6">
        <f t="shared" si="42"/>
        <v>-300</v>
      </c>
      <c r="Y71" s="2"/>
      <c r="Z71" s="7">
        <f t="shared" si="43"/>
        <v>-1</v>
      </c>
    </row>
    <row r="72" spans="1:26" s="24" customFormat="1" hidden="1" outlineLevel="2" x14ac:dyDescent="0.3">
      <c r="A72" s="29"/>
      <c r="B72" s="11" t="str">
        <f>CONCATENATE("          ", "6285", " - ", "JANITORIAL SERVICES")</f>
        <v xml:space="preserve">          6285 - JANITORIAL SERVICES</v>
      </c>
      <c r="C72" s="11"/>
      <c r="D72" s="6">
        <v>5051.18</v>
      </c>
      <c r="E72" s="2"/>
      <c r="F72" s="7">
        <f t="shared" si="36"/>
        <v>1.0510494701430395E-2</v>
      </c>
      <c r="G72" s="2"/>
      <c r="H72" s="6">
        <v>4983</v>
      </c>
      <c r="I72" s="2"/>
      <c r="J72" s="7">
        <f t="shared" si="37"/>
        <v>1.143939393939394E-2</v>
      </c>
      <c r="K72" s="2"/>
      <c r="L72" s="6">
        <f t="shared" si="38"/>
        <v>68.180000000000291</v>
      </c>
      <c r="M72" s="2"/>
      <c r="N72" s="7">
        <f t="shared" si="39"/>
        <v>1.3682520569937847E-2</v>
      </c>
      <c r="O72" s="11"/>
      <c r="P72" s="6">
        <v>29143.54</v>
      </c>
      <c r="Q72" s="2"/>
      <c r="R72" s="7">
        <f t="shared" si="40"/>
        <v>1.0187778430079954E-2</v>
      </c>
      <c r="S72" s="2"/>
      <c r="T72" s="6">
        <v>29898</v>
      </c>
      <c r="U72" s="2"/>
      <c r="V72" s="7">
        <f t="shared" si="41"/>
        <v>1.3482142857142857E-2</v>
      </c>
      <c r="W72" s="2"/>
      <c r="X72" s="6">
        <f t="shared" si="42"/>
        <v>-754.45999999999913</v>
      </c>
      <c r="Y72" s="2"/>
      <c r="Z72" s="7">
        <f t="shared" si="43"/>
        <v>-2.5234463843735337E-2</v>
      </c>
    </row>
    <row r="73" spans="1:26" s="24" customFormat="1" hidden="1" outlineLevel="2" x14ac:dyDescent="0.3">
      <c r="A73" s="29"/>
      <c r="B73" s="11" t="str">
        <f>CONCATENATE("          ", "6286", " - ", "LAUNDRY EXPENSE")</f>
        <v xml:space="preserve">          6286 - LAUNDRY EXPENSE</v>
      </c>
      <c r="C73" s="11"/>
      <c r="D73" s="6">
        <v>630.17999999999995</v>
      </c>
      <c r="E73" s="2"/>
      <c r="F73" s="7">
        <f t="shared" si="36"/>
        <v>1.3112784638336797E-3</v>
      </c>
      <c r="G73" s="2"/>
      <c r="H73" s="6">
        <v>1667</v>
      </c>
      <c r="I73" s="2"/>
      <c r="J73" s="7">
        <f t="shared" si="37"/>
        <v>3.8269054178145089E-3</v>
      </c>
      <c r="K73" s="2"/>
      <c r="L73" s="6">
        <f t="shared" si="38"/>
        <v>-1036.8200000000002</v>
      </c>
      <c r="M73" s="2"/>
      <c r="N73" s="7">
        <f t="shared" si="39"/>
        <v>-0.6219676064787043</v>
      </c>
      <c r="O73" s="11"/>
      <c r="P73" s="6">
        <v>6381.66</v>
      </c>
      <c r="Q73" s="2"/>
      <c r="R73" s="7">
        <f t="shared" si="40"/>
        <v>2.2308524666565569E-3</v>
      </c>
      <c r="S73" s="2"/>
      <c r="T73" s="6">
        <v>10002</v>
      </c>
      <c r="U73" s="2"/>
      <c r="V73" s="7">
        <f t="shared" si="41"/>
        <v>4.5102813852813855E-3</v>
      </c>
      <c r="W73" s="2"/>
      <c r="X73" s="6">
        <f t="shared" si="42"/>
        <v>-3620.34</v>
      </c>
      <c r="Y73" s="2"/>
      <c r="Z73" s="7">
        <f t="shared" si="43"/>
        <v>-0.3619616076784643</v>
      </c>
    </row>
    <row r="74" spans="1:26" s="28" customFormat="1" outlineLevel="1" collapsed="1" x14ac:dyDescent="0.3">
      <c r="A74" s="27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SUM(OSRRefD22_13x_0)</f>
        <v>0</v>
      </c>
      <c r="E74" s="1"/>
      <c r="F74" s="5">
        <f t="shared" ref="F74:F84" si="44">IF(D$12=0,0,D74/D$12)</f>
        <v>0</v>
      </c>
      <c r="G74" s="1"/>
      <c r="H74" s="1">
        <f>SUM(OSRRefH22_13x_0)</f>
        <v>0</v>
      </c>
      <c r="I74" s="1"/>
      <c r="J74" s="5">
        <f t="shared" ref="J74:J84" si="45">IF(H$12=0,0,H74/H$12)</f>
        <v>0</v>
      </c>
      <c r="K74" s="1"/>
      <c r="L74" s="1">
        <f t="shared" ref="L74:L84" si="46">+D74-H74</f>
        <v>0</v>
      </c>
      <c r="M74" s="1"/>
      <c r="N74" s="5">
        <f t="shared" ref="N74:N84" si="47">IF(H74=0,0,L74/H74)</f>
        <v>0</v>
      </c>
      <c r="O74" s="14"/>
      <c r="P74" s="1">
        <f>SUM(OSRRefP22_13x_0)</f>
        <v>0</v>
      </c>
      <c r="Q74" s="1"/>
      <c r="R74" s="5">
        <f t="shared" ref="R74:R84" si="48">IF(P$12=0,0,P74/P$12)</f>
        <v>0</v>
      </c>
      <c r="S74" s="1"/>
      <c r="T74" s="1">
        <f>SUM(OSRRefT22_13x_0)</f>
        <v>795</v>
      </c>
      <c r="U74" s="1"/>
      <c r="V74" s="5">
        <f t="shared" ref="V74:V84" si="49">IF(T$12=0,0,T74/T$12)</f>
        <v>3.5849567099567099E-4</v>
      </c>
      <c r="W74" s="1"/>
      <c r="X74" s="1">
        <f t="shared" ref="X74:X84" si="50">+P74-T74</f>
        <v>-795</v>
      </c>
      <c r="Y74" s="1"/>
      <c r="Z74" s="5">
        <f t="shared" ref="Z74:Z84" si="51">IF(T74=0,0,X74/T74)</f>
        <v>-1</v>
      </c>
    </row>
    <row r="75" spans="1:26" s="24" customFormat="1" hidden="1" outlineLevel="2" x14ac:dyDescent="0.3">
      <c r="A75" s="29"/>
      <c r="B75" s="11" t="str">
        <f>CONCATENATE("          ", "6258", " - ", "MEMBERSHIP DUES")</f>
        <v xml:space="preserve">          6258 - MEMBERSHIP DUES</v>
      </c>
      <c r="C75" s="11"/>
      <c r="D75" s="6"/>
      <c r="E75" s="2"/>
      <c r="F75" s="7">
        <f t="shared" si="44"/>
        <v>0</v>
      </c>
      <c r="G75" s="2"/>
      <c r="H75" s="6"/>
      <c r="I75" s="2"/>
      <c r="J75" s="7">
        <f t="shared" si="45"/>
        <v>0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/>
      <c r="Q75" s="2"/>
      <c r="R75" s="7">
        <f t="shared" si="48"/>
        <v>0</v>
      </c>
      <c r="S75" s="2"/>
      <c r="T75" s="6">
        <v>795</v>
      </c>
      <c r="U75" s="2"/>
      <c r="V75" s="7">
        <f t="shared" si="49"/>
        <v>3.5849567099567099E-4</v>
      </c>
      <c r="W75" s="2"/>
      <c r="X75" s="6">
        <f t="shared" si="50"/>
        <v>-795</v>
      </c>
      <c r="Y75" s="2"/>
      <c r="Z75" s="7">
        <f t="shared" si="51"/>
        <v>-1</v>
      </c>
    </row>
    <row r="76" spans="1:26" s="28" customFormat="1" outlineLevel="1" collapsed="1" x14ac:dyDescent="0.3">
      <c r="A76" s="27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SUM(OSRRefD22_14x_0)</f>
        <v>18161.400000000001</v>
      </c>
      <c r="E76" s="1"/>
      <c r="F76" s="5">
        <f t="shared" si="44"/>
        <v>3.7790238809655957E-2</v>
      </c>
      <c r="G76" s="1"/>
      <c r="H76" s="1">
        <f>SUM(OSRRefH22_14x_0)</f>
        <v>13066</v>
      </c>
      <c r="I76" s="1"/>
      <c r="J76" s="5">
        <f t="shared" si="45"/>
        <v>2.9995408631772268E-2</v>
      </c>
      <c r="K76" s="1"/>
      <c r="L76" s="1">
        <f t="shared" si="46"/>
        <v>5095.4000000000015</v>
      </c>
      <c r="M76" s="1"/>
      <c r="N76" s="5">
        <f t="shared" si="47"/>
        <v>0.38997397826419727</v>
      </c>
      <c r="O76" s="14"/>
      <c r="P76" s="1">
        <f>SUM(OSRRefP22_14x_0)</f>
        <v>102750.35</v>
      </c>
      <c r="Q76" s="1"/>
      <c r="R76" s="5">
        <f t="shared" si="48"/>
        <v>3.5918690708581245E-2</v>
      </c>
      <c r="S76" s="1"/>
      <c r="T76" s="1">
        <f>SUM(OSRRefT22_14x_0)</f>
        <v>78396</v>
      </c>
      <c r="U76" s="1"/>
      <c r="V76" s="5">
        <f t="shared" si="49"/>
        <v>3.5351731601731599E-2</v>
      </c>
      <c r="W76" s="1"/>
      <c r="X76" s="1">
        <f t="shared" si="50"/>
        <v>24354.350000000006</v>
      </c>
      <c r="Y76" s="1"/>
      <c r="Z76" s="5">
        <f t="shared" si="51"/>
        <v>0.31065806928924955</v>
      </c>
    </row>
    <row r="77" spans="1:26" s="24" customFormat="1" hidden="1" outlineLevel="2" x14ac:dyDescent="0.3">
      <c r="A77" s="29"/>
      <c r="B77" s="11" t="str">
        <f>CONCATENATE("          ", "6234", " - ", "EXPENDABLE SUPPLIES &amp; EQUIPMEN")</f>
        <v xml:space="preserve">          6234 - EXPENDABLE SUPPLIES &amp; EQUIPMEN</v>
      </c>
      <c r="C77" s="11"/>
      <c r="D77" s="6">
        <v>315</v>
      </c>
      <c r="E77" s="2"/>
      <c r="F77" s="7">
        <f t="shared" si="44"/>
        <v>6.5545195992828891E-4</v>
      </c>
      <c r="G77" s="2"/>
      <c r="H77" s="6"/>
      <c r="I77" s="2"/>
      <c r="J77" s="7">
        <f t="shared" si="45"/>
        <v>0</v>
      </c>
      <c r="K77" s="2"/>
      <c r="L77" s="6">
        <f t="shared" si="46"/>
        <v>315</v>
      </c>
      <c r="M77" s="2"/>
      <c r="N77" s="7">
        <f t="shared" si="47"/>
        <v>0</v>
      </c>
      <c r="O77" s="11"/>
      <c r="P77" s="6">
        <v>315</v>
      </c>
      <c r="Q77" s="2"/>
      <c r="R77" s="7">
        <f t="shared" si="48"/>
        <v>1.1011531905441773E-4</v>
      </c>
      <c r="S77" s="2"/>
      <c r="T77" s="6"/>
      <c r="U77" s="2"/>
      <c r="V77" s="7">
        <f t="shared" si="49"/>
        <v>0</v>
      </c>
      <c r="W77" s="2"/>
      <c r="X77" s="6">
        <f t="shared" si="50"/>
        <v>315</v>
      </c>
      <c r="Y77" s="2"/>
      <c r="Z77" s="7">
        <f t="shared" si="51"/>
        <v>0</v>
      </c>
    </row>
    <row r="78" spans="1:26" s="24" customFormat="1" hidden="1" outlineLevel="2" x14ac:dyDescent="0.3">
      <c r="A78" s="29"/>
      <c r="B78" s="11" t="str">
        <f>CONCATENATE("          ", "6237", " - ", "JANITORIAL SUPPLIES")</f>
        <v xml:space="preserve">          6237 - JANITORIAL SUPPLIES</v>
      </c>
      <c r="C78" s="11"/>
      <c r="D78" s="6">
        <v>2015.85</v>
      </c>
      <c r="E78" s="2"/>
      <c r="F78" s="7">
        <f t="shared" si="44"/>
        <v>4.1945804235601304E-3</v>
      </c>
      <c r="G78" s="2"/>
      <c r="H78" s="6">
        <v>3750</v>
      </c>
      <c r="I78" s="2"/>
      <c r="J78" s="7">
        <f t="shared" si="45"/>
        <v>8.6088154269972454E-3</v>
      </c>
      <c r="K78" s="2"/>
      <c r="L78" s="6">
        <f t="shared" si="46"/>
        <v>-1734.15</v>
      </c>
      <c r="M78" s="2"/>
      <c r="N78" s="7">
        <f t="shared" si="47"/>
        <v>-0.46244000000000002</v>
      </c>
      <c r="O78" s="11"/>
      <c r="P78" s="6">
        <v>15449.11</v>
      </c>
      <c r="Q78" s="2"/>
      <c r="R78" s="7">
        <f t="shared" si="48"/>
        <v>5.4005831008152247E-3</v>
      </c>
      <c r="S78" s="2"/>
      <c r="T78" s="6">
        <v>22500</v>
      </c>
      <c r="U78" s="2"/>
      <c r="V78" s="7">
        <f t="shared" si="49"/>
        <v>1.0146103896103896E-2</v>
      </c>
      <c r="W78" s="2"/>
      <c r="X78" s="6">
        <f t="shared" si="50"/>
        <v>-7050.8899999999994</v>
      </c>
      <c r="Y78" s="2"/>
      <c r="Z78" s="7">
        <f t="shared" si="51"/>
        <v>-0.31337288888888887</v>
      </c>
    </row>
    <row r="79" spans="1:26" s="24" customFormat="1" hidden="1" outlineLevel="2" x14ac:dyDescent="0.3">
      <c r="A79" s="29"/>
      <c r="B79" s="11" t="str">
        <f>CONCATENATE("          ", "6239", " - ", "KITCHEN SUPPLIES")</f>
        <v xml:space="preserve">          6239 - KITCHEN SUPPLIES</v>
      </c>
      <c r="C79" s="11"/>
      <c r="D79" s="6">
        <v>143.83000000000001</v>
      </c>
      <c r="E79" s="2"/>
      <c r="F79" s="7">
        <f t="shared" si="44"/>
        <v>2.9928144570312955E-4</v>
      </c>
      <c r="G79" s="2"/>
      <c r="H79" s="6">
        <v>1800</v>
      </c>
      <c r="I79" s="2"/>
      <c r="J79" s="7">
        <f t="shared" si="45"/>
        <v>4.1322314049586778E-3</v>
      </c>
      <c r="K79" s="2"/>
      <c r="L79" s="6">
        <f t="shared" si="46"/>
        <v>-1656.17</v>
      </c>
      <c r="M79" s="2"/>
      <c r="N79" s="7">
        <f t="shared" si="47"/>
        <v>-0.92009444444444444</v>
      </c>
      <c r="O79" s="11"/>
      <c r="P79" s="6">
        <v>9506.25</v>
      </c>
      <c r="Q79" s="2"/>
      <c r="R79" s="7">
        <f t="shared" si="48"/>
        <v>3.3231230214636779E-3</v>
      </c>
      <c r="S79" s="2"/>
      <c r="T79" s="6">
        <v>10800</v>
      </c>
      <c r="U79" s="2"/>
      <c r="V79" s="7">
        <f t="shared" si="49"/>
        <v>4.87012987012987E-3</v>
      </c>
      <c r="W79" s="2"/>
      <c r="X79" s="6">
        <f t="shared" si="50"/>
        <v>-1293.75</v>
      </c>
      <c r="Y79" s="2"/>
      <c r="Z79" s="7">
        <f t="shared" si="51"/>
        <v>-0.11979166666666667</v>
      </c>
    </row>
    <row r="80" spans="1:26" s="24" customFormat="1" hidden="1" outlineLevel="2" x14ac:dyDescent="0.3">
      <c r="A80" s="29"/>
      <c r="B80" s="11" t="str">
        <f>CONCATENATE("          ", "6241", " - ", "OFFICE EXPENSE")</f>
        <v xml:space="preserve">          6241 - OFFICE EXPENSE</v>
      </c>
      <c r="C80" s="11"/>
      <c r="D80" s="6">
        <v>404.74</v>
      </c>
      <c r="E80" s="2"/>
      <c r="F80" s="7">
        <f t="shared" si="44"/>
        <v>8.4218294051230369E-4</v>
      </c>
      <c r="G80" s="2"/>
      <c r="H80" s="6">
        <v>820</v>
      </c>
      <c r="I80" s="2"/>
      <c r="J80" s="7">
        <f t="shared" si="45"/>
        <v>1.8824609733700643E-3</v>
      </c>
      <c r="K80" s="2"/>
      <c r="L80" s="6">
        <f t="shared" si="46"/>
        <v>-415.26</v>
      </c>
      <c r="M80" s="2"/>
      <c r="N80" s="7">
        <f t="shared" si="47"/>
        <v>-0.50641463414634147</v>
      </c>
      <c r="O80" s="11"/>
      <c r="P80" s="6">
        <v>3572.22</v>
      </c>
      <c r="Q80" s="2"/>
      <c r="R80" s="7">
        <f t="shared" si="48"/>
        <v>1.2487496667700701E-3</v>
      </c>
      <c r="S80" s="2"/>
      <c r="T80" s="6">
        <v>4920</v>
      </c>
      <c r="U80" s="2"/>
      <c r="V80" s="7">
        <f t="shared" si="49"/>
        <v>2.2186147186147188E-3</v>
      </c>
      <c r="W80" s="2"/>
      <c r="X80" s="6">
        <f t="shared" si="50"/>
        <v>-1347.7800000000002</v>
      </c>
      <c r="Y80" s="2"/>
      <c r="Z80" s="7">
        <f t="shared" si="51"/>
        <v>-0.27393902439024392</v>
      </c>
    </row>
    <row r="81" spans="1:26" s="24" customFormat="1" hidden="1" outlineLevel="2" x14ac:dyDescent="0.3">
      <c r="A81" s="29"/>
      <c r="B81" s="11" t="str">
        <f>CONCATENATE("          ", "6243", " - ", "PAPER SUPPLIES")</f>
        <v xml:space="preserve">          6243 - PAPER SUPPLIES</v>
      </c>
      <c r="C81" s="11"/>
      <c r="D81" s="6">
        <v>15281.98</v>
      </c>
      <c r="E81" s="2"/>
      <c r="F81" s="7">
        <f t="shared" si="44"/>
        <v>3.1798742039952102E-2</v>
      </c>
      <c r="G81" s="2"/>
      <c r="H81" s="6">
        <v>6300</v>
      </c>
      <c r="I81" s="2"/>
      <c r="J81" s="7">
        <f t="shared" si="45"/>
        <v>1.4462809917355372E-2</v>
      </c>
      <c r="K81" s="2"/>
      <c r="L81" s="6">
        <f t="shared" si="46"/>
        <v>8981.98</v>
      </c>
      <c r="M81" s="2"/>
      <c r="N81" s="7">
        <f t="shared" si="47"/>
        <v>1.4257111111111112</v>
      </c>
      <c r="O81" s="11"/>
      <c r="P81" s="6">
        <v>71653.2</v>
      </c>
      <c r="Q81" s="2"/>
      <c r="R81" s="7">
        <f t="shared" si="48"/>
        <v>2.5047984061174616E-2</v>
      </c>
      <c r="S81" s="2"/>
      <c r="T81" s="6">
        <v>37800</v>
      </c>
      <c r="U81" s="2"/>
      <c r="V81" s="7">
        <f t="shared" si="49"/>
        <v>1.7045454545454544E-2</v>
      </c>
      <c r="W81" s="2"/>
      <c r="X81" s="6">
        <f t="shared" si="50"/>
        <v>33853.199999999997</v>
      </c>
      <c r="Y81" s="2"/>
      <c r="Z81" s="7">
        <f t="shared" si="51"/>
        <v>0.89558730158730149</v>
      </c>
    </row>
    <row r="82" spans="1:26" s="24" customFormat="1" hidden="1" outlineLevel="2" x14ac:dyDescent="0.3">
      <c r="A82" s="29"/>
      <c r="B82" s="11" t="str">
        <f>CONCATENATE("          ", "6244", " - ", "SAFETY SUPPLY EXPENSE")</f>
        <v xml:space="preserve">          6244 - SAFETY SUPPLY EXPENSE</v>
      </c>
      <c r="C82" s="11"/>
      <c r="D82" s="6"/>
      <c r="E82" s="2"/>
      <c r="F82" s="7">
        <f t="shared" si="44"/>
        <v>0</v>
      </c>
      <c r="G82" s="2"/>
      <c r="H82" s="6">
        <v>200</v>
      </c>
      <c r="I82" s="2"/>
      <c r="J82" s="7">
        <f t="shared" si="45"/>
        <v>4.591368227731864E-4</v>
      </c>
      <c r="K82" s="2"/>
      <c r="L82" s="6">
        <f t="shared" si="46"/>
        <v>-200</v>
      </c>
      <c r="M82" s="2"/>
      <c r="N82" s="7">
        <f t="shared" si="47"/>
        <v>-1</v>
      </c>
      <c r="O82" s="11"/>
      <c r="P82" s="6"/>
      <c r="Q82" s="2"/>
      <c r="R82" s="7">
        <f t="shared" si="48"/>
        <v>0</v>
      </c>
      <c r="S82" s="2"/>
      <c r="T82" s="6">
        <v>1200</v>
      </c>
      <c r="U82" s="2"/>
      <c r="V82" s="7">
        <f t="shared" si="49"/>
        <v>5.4112554112554113E-4</v>
      </c>
      <c r="W82" s="2"/>
      <c r="X82" s="6">
        <f t="shared" si="50"/>
        <v>-1200</v>
      </c>
      <c r="Y82" s="2"/>
      <c r="Z82" s="7">
        <f t="shared" si="51"/>
        <v>-1</v>
      </c>
    </row>
    <row r="83" spans="1:26" s="24" customFormat="1" hidden="1" outlineLevel="2" x14ac:dyDescent="0.3">
      <c r="A83" s="29"/>
      <c r="B83" s="11" t="str">
        <f>CONCATENATE("          ", "6247", " - ", "STORE SUPPLIES")</f>
        <v xml:space="preserve">          6247 - STORE SUPPLIES</v>
      </c>
      <c r="C83" s="11"/>
      <c r="D83" s="6"/>
      <c r="E83" s="2"/>
      <c r="F83" s="7">
        <f t="shared" si="44"/>
        <v>0</v>
      </c>
      <c r="G83" s="2"/>
      <c r="H83" s="6"/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>
        <v>384.16</v>
      </c>
      <c r="Q83" s="2"/>
      <c r="R83" s="7">
        <f t="shared" si="48"/>
        <v>1.3429174910458769E-4</v>
      </c>
      <c r="S83" s="2"/>
      <c r="T83" s="6"/>
      <c r="U83" s="2"/>
      <c r="V83" s="7">
        <f t="shared" si="49"/>
        <v>0</v>
      </c>
      <c r="W83" s="2"/>
      <c r="X83" s="6">
        <f t="shared" si="50"/>
        <v>384.16</v>
      </c>
      <c r="Y83" s="2"/>
      <c r="Z83" s="7">
        <f t="shared" si="51"/>
        <v>0</v>
      </c>
    </row>
    <row r="84" spans="1:26" s="24" customFormat="1" hidden="1" outlineLevel="2" x14ac:dyDescent="0.3">
      <c r="A84" s="29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44"/>
        <v>0</v>
      </c>
      <c r="G84" s="2"/>
      <c r="H84" s="6">
        <v>196</v>
      </c>
      <c r="I84" s="2"/>
      <c r="J84" s="7">
        <f t="shared" si="45"/>
        <v>4.4995408631772269E-4</v>
      </c>
      <c r="K84" s="2"/>
      <c r="L84" s="6">
        <f t="shared" si="46"/>
        <v>-196</v>
      </c>
      <c r="M84" s="2"/>
      <c r="N84" s="7">
        <f t="shared" si="47"/>
        <v>-1</v>
      </c>
      <c r="O84" s="11"/>
      <c r="P84" s="6">
        <v>1870.41</v>
      </c>
      <c r="Q84" s="2"/>
      <c r="R84" s="7">
        <f t="shared" si="48"/>
        <v>6.5384379019864597E-4</v>
      </c>
      <c r="S84" s="2"/>
      <c r="T84" s="6">
        <v>1176</v>
      </c>
      <c r="U84" s="2"/>
      <c r="V84" s="7">
        <f t="shared" si="49"/>
        <v>5.3030303030303036E-4</v>
      </c>
      <c r="W84" s="2"/>
      <c r="X84" s="6">
        <f t="shared" si="50"/>
        <v>694.41000000000008</v>
      </c>
      <c r="Y84" s="2"/>
      <c r="Z84" s="7">
        <f t="shared" si="51"/>
        <v>0.59048469387755109</v>
      </c>
    </row>
    <row r="85" spans="1:26" s="28" customFormat="1" outlineLevel="1" collapsed="1" x14ac:dyDescent="0.3">
      <c r="A85" s="27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SUM(OSRRefD22_15x_0)</f>
        <v>159</v>
      </c>
      <c r="E85" s="1"/>
      <c r="F85" s="5">
        <f t="shared" ref="F85:F88" si="52">IF(D$12=0,0,D85/D$12)</f>
        <v>3.3084717977332681E-4</v>
      </c>
      <c r="G85" s="1"/>
      <c r="H85" s="1">
        <f>SUM(OSRRefH22_15x_0)</f>
        <v>218</v>
      </c>
      <c r="I85" s="1"/>
      <c r="J85" s="5">
        <f t="shared" ref="J85:J88" si="53">IF(H$12=0,0,H85/H$12)</f>
        <v>5.0045913682277314E-4</v>
      </c>
      <c r="K85" s="1"/>
      <c r="L85" s="1">
        <f t="shared" ref="L85:L88" si="54">+D85-H85</f>
        <v>-59</v>
      </c>
      <c r="M85" s="1"/>
      <c r="N85" s="5">
        <f t="shared" ref="N85:N88" si="55">IF(H85=0,0,L85/H85)</f>
        <v>-0.27064220183486237</v>
      </c>
      <c r="O85" s="14"/>
      <c r="P85" s="1">
        <f>SUM(OSRRefP22_15x_0)</f>
        <v>1762</v>
      </c>
      <c r="Q85" s="1"/>
      <c r="R85" s="5">
        <f t="shared" ref="R85:R88" si="56">IF(P$12=0,0,P85/P$12)</f>
        <v>6.1594664182185416E-4</v>
      </c>
      <c r="S85" s="1"/>
      <c r="T85" s="1">
        <f>SUM(OSRRefT22_15x_0)</f>
        <v>1308</v>
      </c>
      <c r="U85" s="1"/>
      <c r="V85" s="5">
        <f t="shared" ref="V85:V88" si="57">IF(T$12=0,0,T85/T$12)</f>
        <v>5.898268398268398E-4</v>
      </c>
      <c r="W85" s="1"/>
      <c r="X85" s="1">
        <f t="shared" ref="X85:X88" si="58">+P85-T85</f>
        <v>454</v>
      </c>
      <c r="Y85" s="1"/>
      <c r="Z85" s="5">
        <f t="shared" ref="Z85:Z88" si="59">IF(T85=0,0,X85/T85)</f>
        <v>0.3470948012232416</v>
      </c>
    </row>
    <row r="86" spans="1:26" s="24" customFormat="1" hidden="1" outlineLevel="2" x14ac:dyDescent="0.3">
      <c r="A86" s="29"/>
      <c r="B86" s="11" t="str">
        <f>CONCATENATE("          ", "6309", " - ", "TELEPHONE")</f>
        <v xml:space="preserve">          6309 - TELEPHONE</v>
      </c>
      <c r="C86" s="11"/>
      <c r="D86" s="6">
        <v>159</v>
      </c>
      <c r="E86" s="2"/>
      <c r="F86" s="7">
        <f t="shared" si="52"/>
        <v>3.3084717977332681E-4</v>
      </c>
      <c r="G86" s="2"/>
      <c r="H86" s="6">
        <v>218</v>
      </c>
      <c r="I86" s="2"/>
      <c r="J86" s="7">
        <f t="shared" si="53"/>
        <v>5.0045913682277314E-4</v>
      </c>
      <c r="K86" s="2"/>
      <c r="L86" s="6">
        <f t="shared" si="54"/>
        <v>-59</v>
      </c>
      <c r="M86" s="2"/>
      <c r="N86" s="7">
        <f t="shared" si="55"/>
        <v>-0.27064220183486237</v>
      </c>
      <c r="O86" s="11"/>
      <c r="P86" s="6">
        <v>1762</v>
      </c>
      <c r="Q86" s="2"/>
      <c r="R86" s="7">
        <f t="shared" si="56"/>
        <v>6.1594664182185416E-4</v>
      </c>
      <c r="S86" s="2"/>
      <c r="T86" s="6">
        <v>1308</v>
      </c>
      <c r="U86" s="2"/>
      <c r="V86" s="7">
        <f t="shared" si="57"/>
        <v>5.898268398268398E-4</v>
      </c>
      <c r="W86" s="2"/>
      <c r="X86" s="6">
        <f t="shared" si="58"/>
        <v>454</v>
      </c>
      <c r="Y86" s="2"/>
      <c r="Z86" s="7">
        <f t="shared" si="59"/>
        <v>0.3470948012232416</v>
      </c>
    </row>
    <row r="87" spans="1:26" s="28" customFormat="1" outlineLevel="1" collapsed="1" x14ac:dyDescent="0.3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SUM(OSRRefD22_16x_0)</f>
        <v>0</v>
      </c>
      <c r="E87" s="1"/>
      <c r="F87" s="5">
        <f t="shared" si="52"/>
        <v>0</v>
      </c>
      <c r="G87" s="1"/>
      <c r="H87" s="1">
        <f>SUM(OSRRefH22_16x_0)</f>
        <v>175</v>
      </c>
      <c r="I87" s="1"/>
      <c r="J87" s="5">
        <f t="shared" si="53"/>
        <v>4.0174471992653808E-4</v>
      </c>
      <c r="K87" s="1"/>
      <c r="L87" s="1">
        <f t="shared" si="54"/>
        <v>-175</v>
      </c>
      <c r="M87" s="1"/>
      <c r="N87" s="5">
        <f t="shared" si="55"/>
        <v>-1</v>
      </c>
      <c r="O87" s="14"/>
      <c r="P87" s="1">
        <f>SUM(OSRRefP22_16x_0)</f>
        <v>245</v>
      </c>
      <c r="Q87" s="1"/>
      <c r="R87" s="5">
        <f t="shared" si="56"/>
        <v>8.5645248153436016E-5</v>
      </c>
      <c r="S87" s="1"/>
      <c r="T87" s="1">
        <f>SUM(OSRRefT22_16x_0)</f>
        <v>1050</v>
      </c>
      <c r="U87" s="1"/>
      <c r="V87" s="5">
        <f t="shared" si="57"/>
        <v>4.734848484848485E-4</v>
      </c>
      <c r="W87" s="1"/>
      <c r="X87" s="1">
        <f t="shared" si="58"/>
        <v>-805</v>
      </c>
      <c r="Y87" s="1"/>
      <c r="Z87" s="5">
        <f t="shared" si="59"/>
        <v>-0.76666666666666672</v>
      </c>
    </row>
    <row r="88" spans="1:26" s="24" customFormat="1" hidden="1" outlineLevel="2" x14ac:dyDescent="0.3">
      <c r="A88" s="29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52"/>
        <v>0</v>
      </c>
      <c r="G88" s="2"/>
      <c r="H88" s="6">
        <v>175</v>
      </c>
      <c r="I88" s="2"/>
      <c r="J88" s="7">
        <f t="shared" si="53"/>
        <v>4.0174471992653808E-4</v>
      </c>
      <c r="K88" s="2"/>
      <c r="L88" s="6">
        <f t="shared" si="54"/>
        <v>-175</v>
      </c>
      <c r="M88" s="2"/>
      <c r="N88" s="7">
        <f t="shared" si="55"/>
        <v>-1</v>
      </c>
      <c r="O88" s="11"/>
      <c r="P88" s="6">
        <v>245</v>
      </c>
      <c r="Q88" s="2"/>
      <c r="R88" s="7">
        <f t="shared" si="56"/>
        <v>8.5645248153436016E-5</v>
      </c>
      <c r="S88" s="2"/>
      <c r="T88" s="6">
        <v>1050</v>
      </c>
      <c r="U88" s="2"/>
      <c r="V88" s="7">
        <f t="shared" si="57"/>
        <v>4.734848484848485E-4</v>
      </c>
      <c r="W88" s="2"/>
      <c r="X88" s="6">
        <f t="shared" si="58"/>
        <v>-805</v>
      </c>
      <c r="Y88" s="2"/>
      <c r="Z88" s="7">
        <f t="shared" si="59"/>
        <v>-0.76666666666666672</v>
      </c>
    </row>
    <row r="89" spans="1:26" s="55" customFormat="1" x14ac:dyDescent="0.3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3">
      <c r="A90" s="10"/>
      <c r="B90" s="25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10"/>
      <c r="B92" s="26" t="s">
        <v>277</v>
      </c>
      <c r="C92" s="26"/>
      <c r="D92" s="20">
        <f>+D23-D25+D90</f>
        <v>178987.19000000006</v>
      </c>
      <c r="E92" s="13"/>
      <c r="F92" s="22">
        <f>IF(D$12=0,0,D92/D$12)</f>
        <v>0.37243652218272089</v>
      </c>
      <c r="G92" s="13"/>
      <c r="H92" s="20">
        <f>+H23-H25+H90</f>
        <v>100331.34030878005</v>
      </c>
      <c r="I92" s="13"/>
      <c r="J92" s="22">
        <f>IF(H$12=0,0,H92/H$12)</f>
        <v>0.23032906406974302</v>
      </c>
      <c r="K92" s="16"/>
      <c r="L92" s="20">
        <f>+D92-H92</f>
        <v>78655.849691220006</v>
      </c>
      <c r="M92" s="16"/>
      <c r="N92" s="22">
        <f>IF(H92=0,0,L92/H92)</f>
        <v>0.78396091838450987</v>
      </c>
      <c r="O92" s="25"/>
      <c r="P92" s="20">
        <f>+P23-P25+P90</f>
        <v>1013691.4199999995</v>
      </c>
      <c r="Q92" s="13"/>
      <c r="R92" s="22">
        <f>IF(P$12=0,0,P92/P$12)</f>
        <v>0.35435858455881181</v>
      </c>
      <c r="S92" s="13"/>
      <c r="T92" s="20">
        <f>+T23-T25+T90</f>
        <v>372602.99600707018</v>
      </c>
      <c r="U92" s="13"/>
      <c r="V92" s="22">
        <f>IF(T$12=0,0,T92/T$12)</f>
        <v>0.16802083153276975</v>
      </c>
      <c r="W92" s="16"/>
      <c r="X92" s="20">
        <f>+P92-T92</f>
        <v>641088.42399292928</v>
      </c>
      <c r="Y92" s="16"/>
      <c r="Z92" s="22">
        <f>IF(T92=0,0,X92/T92)</f>
        <v>1.7205670133172106</v>
      </c>
    </row>
    <row r="93" spans="1:26" x14ac:dyDescent="0.3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">
      <c r="A94" s="52"/>
      <c r="B94" s="10" t="s">
        <v>128</v>
      </c>
      <c r="C94" s="10"/>
      <c r="D94" s="4">
        <v>60844.93</v>
      </c>
      <c r="E94" s="4"/>
      <c r="F94" s="12">
        <f>IF(D$12=0,0,D94/D$12)</f>
        <v>0.12660612260380807</v>
      </c>
      <c r="G94" s="4"/>
      <c r="H94" s="4">
        <v>64343</v>
      </c>
      <c r="I94" s="4"/>
      <c r="J94" s="12">
        <f>IF(H$12=0,0,H94/H$12)</f>
        <v>0.14771120293847567</v>
      </c>
      <c r="K94" s="4"/>
      <c r="L94" s="4">
        <f>+D94-H94</f>
        <v>-3498.0699999999997</v>
      </c>
      <c r="M94" s="4"/>
      <c r="N94" s="12">
        <f>IF(H94=0,0,L94/H94)</f>
        <v>-5.4365976096855909E-2</v>
      </c>
      <c r="O94" s="10"/>
      <c r="P94" s="4">
        <v>344337.19</v>
      </c>
      <c r="Q94" s="4"/>
      <c r="R94" s="12">
        <f>IF(P$12=0,0,P94/P$12)</f>
        <v>0.12037079218778304</v>
      </c>
      <c r="S94" s="4"/>
      <c r="T94" s="4">
        <v>287115</v>
      </c>
      <c r="U94" s="4"/>
      <c r="V94" s="12">
        <f>IF(T$12=0,0,T94/T$12)</f>
        <v>0.12947104978354979</v>
      </c>
      <c r="W94" s="4"/>
      <c r="X94" s="4">
        <f>+P94-T94</f>
        <v>57222.19</v>
      </c>
      <c r="Y94" s="4"/>
      <c r="Z94" s="12">
        <f>IF(T94=0,0,X94/T94)</f>
        <v>0.19930059383870574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126</v>
      </c>
      <c r="C96" s="26"/>
      <c r="D96" s="31">
        <f>+D92-D94</f>
        <v>118142.26000000007</v>
      </c>
      <c r="E96" s="13"/>
      <c r="F96" s="30">
        <f>IF(D$12=0,0,D96/D$12)</f>
        <v>0.24583039957891281</v>
      </c>
      <c r="G96" s="13"/>
      <c r="H96" s="31">
        <f>+H92-H94</f>
        <v>35988.340308780054</v>
      </c>
      <c r="I96" s="13"/>
      <c r="J96" s="30">
        <f>IF(H$12=0,0,H96/H$12)</f>
        <v>8.2617861131267345E-2</v>
      </c>
      <c r="K96" s="16"/>
      <c r="L96" s="31">
        <f>D96-H96</f>
        <v>82153.919691220013</v>
      </c>
      <c r="M96" s="16"/>
      <c r="N96" s="30">
        <f>IF(H96=0,0,L96/H96)</f>
        <v>2.2827926763595978</v>
      </c>
      <c r="O96" s="25"/>
      <c r="P96" s="31">
        <f>+P92-P94</f>
        <v>669354.22999999952</v>
      </c>
      <c r="Q96" s="13"/>
      <c r="R96" s="30">
        <f>IF(P$12=0,0,P96/P$12)</f>
        <v>0.23398779237102876</v>
      </c>
      <c r="S96" s="13"/>
      <c r="T96" s="31">
        <f>+T92-T94</f>
        <v>85487.996007070178</v>
      </c>
      <c r="U96" s="13"/>
      <c r="V96" s="30">
        <f>IF(T$12=0,0,T96/T$12)</f>
        <v>3.8549781749219955E-2</v>
      </c>
      <c r="W96" s="16"/>
      <c r="X96" s="31">
        <f>P96-T96</f>
        <v>583866.23399292934</v>
      </c>
      <c r="Y96" s="16"/>
      <c r="Z96" s="30">
        <f>IF(T96=0,0,X96/T96)</f>
        <v>6.8298037299253265</v>
      </c>
    </row>
    <row r="97" spans="1:26" ht="15" thickTop="1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294</v>
      </c>
      <c r="C99" s="26"/>
      <c r="D99" s="35">
        <f>SUM(D96:D98)</f>
        <v>118142.26000000007</v>
      </c>
      <c r="E99" s="13"/>
      <c r="F99" s="34">
        <f>IF(D$12=0,0,D99/D$12)</f>
        <v>0.24583039957891281</v>
      </c>
      <c r="G99" s="13"/>
      <c r="H99" s="35">
        <f>SUM(H96:H98)</f>
        <v>35988.340308780054</v>
      </c>
      <c r="I99" s="13"/>
      <c r="J99" s="34">
        <f>IF(H$12=0,0,H99/H$12)</f>
        <v>8.2617861131267345E-2</v>
      </c>
      <c r="K99" s="16"/>
      <c r="L99" s="35">
        <f>+D99-H99</f>
        <v>82153.919691220013</v>
      </c>
      <c r="M99" s="16"/>
      <c r="N99" s="34">
        <f>IF(H99=0,0,L99/H99)</f>
        <v>2.2827926763595978</v>
      </c>
      <c r="O99" s="25"/>
      <c r="P99" s="35">
        <f>SUM(P96:P98)</f>
        <v>669354.22999999952</v>
      </c>
      <c r="Q99" s="13"/>
      <c r="R99" s="34">
        <f>IF(P$12=0,0,P99/P$12)</f>
        <v>0.23398779237102876</v>
      </c>
      <c r="S99" s="13"/>
      <c r="T99" s="35">
        <f>SUM(T96:T98)</f>
        <v>85487.996007070178</v>
      </c>
      <c r="U99" s="13"/>
      <c r="V99" s="34">
        <f>IF(T$12=0,0,T99/T$12)</f>
        <v>3.8549781749219955E-2</v>
      </c>
      <c r="W99" s="16"/>
      <c r="X99" s="35">
        <f>+P99-T99</f>
        <v>583866.23399292934</v>
      </c>
      <c r="Y99" s="16"/>
      <c r="Z99" s="34">
        <f>IF(T99=0,0,X99/T99)</f>
        <v>6.8298037299253265</v>
      </c>
    </row>
    <row r="100" spans="1:26" ht="15" thickTop="1" x14ac:dyDescent="0.3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">
      <c r="A101" s="9"/>
      <c r="B101" s="61">
        <v>44575.842125659721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">
      <c r="A102" s="9"/>
      <c r="B102" s="62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3">
      <c r="A103" s="9"/>
      <c r="B103" s="53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3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","450", " - ", "Beachside Dining Hall")</f>
        <v>Department 450 - Beachside Dining Hall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173612.78</v>
      </c>
      <c r="E12" s="4"/>
      <c r="F12" s="12"/>
      <c r="G12" s="4"/>
      <c r="H12" s="4">
        <f>SUM(OSRRefH13x_0)</f>
        <v>95040</v>
      </c>
      <c r="I12" s="4"/>
      <c r="J12" s="12"/>
      <c r="K12" s="4"/>
      <c r="L12" s="4">
        <f t="shared" ref="L12:L16" si="0">+D12-H12</f>
        <v>78572.78</v>
      </c>
      <c r="M12" s="4"/>
      <c r="N12" s="12">
        <f t="shared" ref="N12:N16" si="1">IF(H12=0,0,L12/H12)</f>
        <v>0.82673379629629629</v>
      </c>
      <c r="O12" s="10"/>
      <c r="P12" s="4">
        <f>SUM(OSRRefP13x_0)</f>
        <v>897913.01</v>
      </c>
      <c r="Q12" s="4"/>
      <c r="R12" s="12"/>
      <c r="S12" s="4"/>
      <c r="T12" s="4">
        <f>SUM(OSRRefT13x_0)</f>
        <v>483840</v>
      </c>
      <c r="U12" s="4"/>
      <c r="V12" s="12"/>
      <c r="W12" s="4"/>
      <c r="X12" s="4">
        <f t="shared" ref="X12:X16" si="2">+P12-T12</f>
        <v>414073.01</v>
      </c>
      <c r="Y12" s="4"/>
      <c r="Z12" s="12">
        <f t="shared" ref="Z12:Z16" si="3">IF(T12=0,0,X12/T12)</f>
        <v>0.85580565889550264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--54.05</f>
        <v>54.05</v>
      </c>
      <c r="E13" s="2"/>
      <c r="F13" s="19"/>
      <c r="G13" s="2"/>
      <c r="H13" s="2"/>
      <c r="I13" s="2"/>
      <c r="J13" s="19"/>
      <c r="K13" s="2"/>
      <c r="L13" s="2">
        <f t="shared" si="0"/>
        <v>54.05</v>
      </c>
      <c r="M13" s="2"/>
      <c r="N13" s="19">
        <f t="shared" si="1"/>
        <v>0</v>
      </c>
      <c r="O13" s="11"/>
      <c r="P13" s="2">
        <f>--163.12</f>
        <v>163.12</v>
      </c>
      <c r="Q13" s="2"/>
      <c r="R13" s="19"/>
      <c r="S13" s="2"/>
      <c r="T13" s="2"/>
      <c r="U13" s="2"/>
      <c r="V13" s="19"/>
      <c r="W13" s="2"/>
      <c r="X13" s="2">
        <f t="shared" si="2"/>
        <v>163.12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95040</v>
      </c>
      <c r="I14" s="2"/>
      <c r="J14" s="19"/>
      <c r="K14" s="2"/>
      <c r="L14" s="2">
        <f t="shared" si="0"/>
        <v>-95040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483840</v>
      </c>
      <c r="U14" s="2"/>
      <c r="V14" s="19"/>
      <c r="W14" s="2"/>
      <c r="X14" s="2">
        <f t="shared" si="2"/>
        <v>-483840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--172634.28</f>
        <v>172634.28</v>
      </c>
      <c r="E15" s="2"/>
      <c r="F15" s="19"/>
      <c r="G15" s="2"/>
      <c r="H15" s="2"/>
      <c r="I15" s="2"/>
      <c r="J15" s="19"/>
      <c r="K15" s="2"/>
      <c r="L15" s="2">
        <f t="shared" si="0"/>
        <v>172634.28</v>
      </c>
      <c r="M15" s="2"/>
      <c r="N15" s="19">
        <f t="shared" si="1"/>
        <v>0</v>
      </c>
      <c r="O15" s="11"/>
      <c r="P15" s="2">
        <f>--893275</f>
        <v>893275</v>
      </c>
      <c r="Q15" s="2"/>
      <c r="R15" s="19"/>
      <c r="S15" s="2"/>
      <c r="T15" s="2"/>
      <c r="U15" s="2"/>
      <c r="V15" s="19"/>
      <c r="W15" s="2"/>
      <c r="X15" s="2">
        <f t="shared" si="2"/>
        <v>893275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--924.45</f>
        <v>924.45</v>
      </c>
      <c r="E16" s="2"/>
      <c r="F16" s="19"/>
      <c r="G16" s="2"/>
      <c r="H16" s="2"/>
      <c r="I16" s="2"/>
      <c r="J16" s="19"/>
      <c r="K16" s="2"/>
      <c r="L16" s="2">
        <f t="shared" si="0"/>
        <v>924.45</v>
      </c>
      <c r="M16" s="2"/>
      <c r="N16" s="19">
        <f t="shared" si="1"/>
        <v>0</v>
      </c>
      <c r="O16" s="11"/>
      <c r="P16" s="2">
        <f>--4474.89</f>
        <v>4474.8900000000003</v>
      </c>
      <c r="Q16" s="2"/>
      <c r="R16" s="19"/>
      <c r="S16" s="2"/>
      <c r="T16" s="2"/>
      <c r="U16" s="2"/>
      <c r="V16" s="19"/>
      <c r="W16" s="2"/>
      <c r="X16" s="2">
        <f t="shared" si="2"/>
        <v>4474.8900000000003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32880.259999999995</v>
      </c>
      <c r="E18" s="4"/>
      <c r="F18" s="12">
        <f t="shared" ref="F18:F21" si="4">IF(D$12=0,0,D18/D$12)</f>
        <v>0.18938847704644782</v>
      </c>
      <c r="G18" s="4"/>
      <c r="H18" s="4">
        <f>SUM(OSRRefH16x_0)</f>
        <v>22810</v>
      </c>
      <c r="I18" s="4"/>
      <c r="J18" s="12">
        <f t="shared" ref="J18:J21" si="5">IF(H$12=0,0,H18/H$12)</f>
        <v>0.24000420875420875</v>
      </c>
      <c r="K18" s="4"/>
      <c r="L18" s="4">
        <f t="shared" ref="L18:L21" si="6">+D18-H18</f>
        <v>10070.259999999995</v>
      </c>
      <c r="M18" s="4"/>
      <c r="N18" s="12">
        <f t="shared" ref="N18:N21" si="7">IF(H18=0,0,L18/H18)</f>
        <v>0.44148443665059162</v>
      </c>
      <c r="O18" s="10"/>
      <c r="P18" s="4">
        <f>SUM(OSRRefP16x_0)</f>
        <v>237376.29</v>
      </c>
      <c r="Q18" s="4"/>
      <c r="R18" s="12">
        <f t="shared" ref="R18:R21" si="8">IF(P$12=0,0,P18/P$12)</f>
        <v>0.26436446220998627</v>
      </c>
      <c r="S18" s="4"/>
      <c r="T18" s="4">
        <f>SUM(OSRRefT16x_0)</f>
        <v>132428</v>
      </c>
      <c r="U18" s="4"/>
      <c r="V18" s="12">
        <f t="shared" ref="V18:V21" si="9">IF(T$12=0,0,T18/T$12)</f>
        <v>0.27370205026455025</v>
      </c>
      <c r="W18" s="4"/>
      <c r="X18" s="4">
        <f t="shared" ref="X18:X21" si="10">+P18-T18</f>
        <v>104948.29000000001</v>
      </c>
      <c r="Y18" s="4"/>
      <c r="Z18" s="12">
        <f t="shared" ref="Z18:Z21" si="11">IF(T18=0,0,X18/T18)</f>
        <v>0.79249320385416988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22810</v>
      </c>
      <c r="I19" s="2"/>
      <c r="J19" s="19">
        <f t="shared" si="5"/>
        <v>0.24000420875420875</v>
      </c>
      <c r="K19" s="2"/>
      <c r="L19" s="2">
        <f t="shared" si="6"/>
        <v>-22810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132428</v>
      </c>
      <c r="U19" s="2"/>
      <c r="V19" s="19">
        <f t="shared" si="9"/>
        <v>0.27370205026455025</v>
      </c>
      <c r="W19" s="2"/>
      <c r="X19" s="2">
        <f t="shared" si="10"/>
        <v>-132428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22863.26</v>
      </c>
      <c r="E20" s="2"/>
      <c r="F20" s="19">
        <f t="shared" si="4"/>
        <v>0.13169111167968164</v>
      </c>
      <c r="G20" s="2"/>
      <c r="H20" s="2"/>
      <c r="I20" s="2"/>
      <c r="J20" s="19">
        <f t="shared" si="5"/>
        <v>0</v>
      </c>
      <c r="K20" s="2"/>
      <c r="L20" s="2">
        <f t="shared" si="6"/>
        <v>22863.26</v>
      </c>
      <c r="M20" s="2"/>
      <c r="N20" s="19">
        <f t="shared" si="7"/>
        <v>0</v>
      </c>
      <c r="O20" s="11"/>
      <c r="P20" s="2">
        <v>246203.35</v>
      </c>
      <c r="Q20" s="2"/>
      <c r="R20" s="19">
        <f t="shared" si="8"/>
        <v>0.27419510270822339</v>
      </c>
      <c r="S20" s="2"/>
      <c r="T20" s="2"/>
      <c r="U20" s="2"/>
      <c r="V20" s="19">
        <f t="shared" si="9"/>
        <v>0</v>
      </c>
      <c r="W20" s="2"/>
      <c r="X20" s="2">
        <f t="shared" si="10"/>
        <v>246203.35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10017</v>
      </c>
      <c r="E21" s="2"/>
      <c r="F21" s="19">
        <f t="shared" si="4"/>
        <v>5.7697365366766201E-2</v>
      </c>
      <c r="G21" s="2"/>
      <c r="H21" s="2"/>
      <c r="I21" s="2"/>
      <c r="J21" s="19">
        <f t="shared" si="5"/>
        <v>0</v>
      </c>
      <c r="K21" s="2"/>
      <c r="L21" s="2">
        <f t="shared" si="6"/>
        <v>10017</v>
      </c>
      <c r="M21" s="2"/>
      <c r="N21" s="19">
        <f t="shared" si="7"/>
        <v>0</v>
      </c>
      <c r="O21" s="11"/>
      <c r="P21" s="2">
        <v>-8827.06</v>
      </c>
      <c r="Q21" s="2"/>
      <c r="R21" s="19">
        <f t="shared" si="8"/>
        <v>-9.8306404982371285E-3</v>
      </c>
      <c r="S21" s="2"/>
      <c r="T21" s="2"/>
      <c r="U21" s="2"/>
      <c r="V21" s="19">
        <f t="shared" si="9"/>
        <v>0</v>
      </c>
      <c r="W21" s="2"/>
      <c r="X21" s="2">
        <f t="shared" si="10"/>
        <v>-8827.06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140732.52000000002</v>
      </c>
      <c r="E23" s="13"/>
      <c r="F23" s="22">
        <f>IF(D$12=0,0,D23/D$12)</f>
        <v>0.81061152295355221</v>
      </c>
      <c r="G23" s="13"/>
      <c r="H23" s="20">
        <f>H12-H18</f>
        <v>72230</v>
      </c>
      <c r="I23" s="13"/>
      <c r="J23" s="22">
        <f>IF(H$12=0,0,H23/H$12)</f>
        <v>0.7599957912457912</v>
      </c>
      <c r="K23" s="16"/>
      <c r="L23" s="20">
        <f>+D23-H23</f>
        <v>68502.520000000019</v>
      </c>
      <c r="M23" s="16"/>
      <c r="N23" s="22">
        <f>IF(H23=0,0,L23/H23)</f>
        <v>0.94839429599889269</v>
      </c>
      <c r="O23" s="25"/>
      <c r="P23" s="20">
        <f>P12-P18</f>
        <v>660536.72</v>
      </c>
      <c r="Q23" s="13"/>
      <c r="R23" s="22">
        <f>IF(P$12=0,0,P23/P$12)</f>
        <v>0.73563553779001367</v>
      </c>
      <c r="S23" s="13"/>
      <c r="T23" s="20">
        <f>T12-T18</f>
        <v>351412</v>
      </c>
      <c r="U23" s="13"/>
      <c r="V23" s="22">
        <f>IF(T$12=0,0,T23/T$12)</f>
        <v>0.7262979497354497</v>
      </c>
      <c r="W23" s="16"/>
      <c r="X23" s="20">
        <f>+P23-T23</f>
        <v>309124.71999999997</v>
      </c>
      <c r="Y23" s="16"/>
      <c r="Z23" s="22">
        <f>IF(T23=0,0,X23/T23)</f>
        <v>0.87966466711438418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111423.10999999997</v>
      </c>
      <c r="E25" s="21"/>
      <c r="F25" s="32">
        <f t="shared" ref="F25:F36" si="12">IF(D$12=0,0,D25/D$12)</f>
        <v>0.64179094419201155</v>
      </c>
      <c r="G25" s="21"/>
      <c r="H25" s="21">
        <f>SUM(OSRRefH22x_0)</f>
        <v>115673.92699692311</v>
      </c>
      <c r="I25" s="21"/>
      <c r="J25" s="32">
        <f t="shared" ref="J25:J36" si="13">IF(H$12=0,0,H25/H$12)</f>
        <v>1.2171078177285681</v>
      </c>
      <c r="K25" s="4"/>
      <c r="L25" s="21">
        <f t="shared" ref="L25:L36" si="14">+D25-H25</f>
        <v>-4250.8169969231385</v>
      </c>
      <c r="M25" s="4"/>
      <c r="N25" s="32">
        <f t="shared" ref="N25:N36" si="15">IF(H25=0,0,L25/H25)</f>
        <v>-3.674827255615009E-2</v>
      </c>
      <c r="O25" s="10"/>
      <c r="P25" s="21">
        <f>SUM(OSRRefP22x_0)</f>
        <v>666358.9</v>
      </c>
      <c r="Q25" s="21"/>
      <c r="R25" s="32">
        <f t="shared" ref="R25:R36" si="16">IF(P$12=0,0,P25/P$12)</f>
        <v>0.74211966257176742</v>
      </c>
      <c r="S25" s="21"/>
      <c r="T25" s="21">
        <f>SUM(OSRRefT22x_0)</f>
        <v>707576.08898</v>
      </c>
      <c r="U25" s="21"/>
      <c r="V25" s="32">
        <f t="shared" ref="V25:V36" si="17">IF(T$12=0,0,T25/T$12)</f>
        <v>1.4624175119460978</v>
      </c>
      <c r="W25" s="4"/>
      <c r="X25" s="21">
        <f t="shared" ref="X25:X36" si="18">+P25-T25</f>
        <v>-41217.188979999977</v>
      </c>
      <c r="Y25" s="4"/>
      <c r="Z25" s="32">
        <f t="shared" ref="Z25:Z36" si="19">IF(T25=0,0,X25/T25)</f>
        <v>-5.8251246222037048E-2</v>
      </c>
    </row>
    <row r="26" spans="1:26" s="28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22057.569999999996</v>
      </c>
      <c r="E26" s="1"/>
      <c r="F26" s="5">
        <f t="shared" si="12"/>
        <v>0.12705038189008894</v>
      </c>
      <c r="G26" s="1"/>
      <c r="H26" s="1">
        <f>SUM(OSRRefH22_0x_0)</f>
        <v>29793.43161230773</v>
      </c>
      <c r="I26" s="1"/>
      <c r="J26" s="5">
        <f t="shared" si="13"/>
        <v>0.31348307672882714</v>
      </c>
      <c r="K26" s="1"/>
      <c r="L26" s="1">
        <f t="shared" si="14"/>
        <v>-7735.8616123077336</v>
      </c>
      <c r="M26" s="1"/>
      <c r="N26" s="5">
        <f t="shared" si="15"/>
        <v>-0.25964990246749664</v>
      </c>
      <c r="O26" s="14"/>
      <c r="P26" s="1">
        <f>SUM(OSRRefP22_0x_0)</f>
        <v>135431.90999999997</v>
      </c>
      <c r="Q26" s="1"/>
      <c r="R26" s="5">
        <f t="shared" si="16"/>
        <v>0.15082965553645333</v>
      </c>
      <c r="S26" s="1"/>
      <c r="T26" s="1">
        <f>SUM(OSRRefT22_0x_0)</f>
        <v>190660.36898</v>
      </c>
      <c r="U26" s="1"/>
      <c r="V26" s="5">
        <f t="shared" si="17"/>
        <v>0.39405664885085978</v>
      </c>
      <c r="W26" s="1"/>
      <c r="X26" s="1">
        <f t="shared" si="18"/>
        <v>-55228.458980000025</v>
      </c>
      <c r="Y26" s="1"/>
      <c r="Z26" s="5">
        <f t="shared" si="19"/>
        <v>-0.28966931762202458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6">
        <v>2826.53</v>
      </c>
      <c r="E27" s="2"/>
      <c r="F27" s="7">
        <f t="shared" si="12"/>
        <v>1.6280656297307145E-2</v>
      </c>
      <c r="G27" s="2"/>
      <c r="H27" s="6">
        <v>2633.9977661538501</v>
      </c>
      <c r="I27" s="2"/>
      <c r="J27" s="7">
        <f t="shared" si="13"/>
        <v>2.7714622960373001E-2</v>
      </c>
      <c r="K27" s="2"/>
      <c r="L27" s="6">
        <f t="shared" si="14"/>
        <v>192.53223384615012</v>
      </c>
      <c r="M27" s="2"/>
      <c r="N27" s="7">
        <f t="shared" si="15"/>
        <v>7.3095063450750258E-2</v>
      </c>
      <c r="O27" s="11"/>
      <c r="P27" s="6">
        <v>18563.52</v>
      </c>
      <c r="Q27" s="2"/>
      <c r="R27" s="7">
        <f t="shared" si="16"/>
        <v>2.0674073984071131E-2</v>
      </c>
      <c r="S27" s="2"/>
      <c r="T27" s="6">
        <v>18112.04898</v>
      </c>
      <c r="U27" s="2"/>
      <c r="V27" s="7">
        <f t="shared" si="17"/>
        <v>3.7433963665674599E-2</v>
      </c>
      <c r="W27" s="2"/>
      <c r="X27" s="6">
        <f t="shared" si="18"/>
        <v>451.47102000000086</v>
      </c>
      <c r="Y27" s="2"/>
      <c r="Z27" s="7">
        <f t="shared" si="19"/>
        <v>2.4926556928955526E-2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2093.1</v>
      </c>
      <c r="E28" s="2"/>
      <c r="F28" s="7">
        <f t="shared" si="12"/>
        <v>1.2056140106736382E-2</v>
      </c>
      <c r="G28" s="2"/>
      <c r="H28" s="6">
        <v>2502.0763692307701</v>
      </c>
      <c r="I28" s="2"/>
      <c r="J28" s="7">
        <f t="shared" si="13"/>
        <v>2.6326561124061131E-2</v>
      </c>
      <c r="K28" s="2"/>
      <c r="L28" s="6">
        <f t="shared" si="14"/>
        <v>-408.97636923077016</v>
      </c>
      <c r="M28" s="2"/>
      <c r="N28" s="7">
        <f t="shared" si="15"/>
        <v>-0.1634547906931012</v>
      </c>
      <c r="O28" s="11"/>
      <c r="P28" s="6">
        <v>11955</v>
      </c>
      <c r="Q28" s="2"/>
      <c r="R28" s="7">
        <f t="shared" si="16"/>
        <v>1.3314207352892682E-2</v>
      </c>
      <c r="S28" s="2"/>
      <c r="T28" s="6">
        <v>15160.606400000001</v>
      </c>
      <c r="U28" s="2"/>
      <c r="V28" s="7">
        <f t="shared" si="17"/>
        <v>3.1333925264550269E-2</v>
      </c>
      <c r="W28" s="2"/>
      <c r="X28" s="6">
        <f t="shared" si="18"/>
        <v>-3205.6064000000006</v>
      </c>
      <c r="Y28" s="2"/>
      <c r="Z28" s="7">
        <f t="shared" si="19"/>
        <v>-0.21144315177260986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6">
        <v>11954.17</v>
      </c>
      <c r="E29" s="2"/>
      <c r="F29" s="7">
        <f t="shared" si="12"/>
        <v>6.8855357307221282E-2</v>
      </c>
      <c r="G29" s="2"/>
      <c r="H29" s="6">
        <v>18578.538461538501</v>
      </c>
      <c r="I29" s="2"/>
      <c r="J29" s="7">
        <f t="shared" si="13"/>
        <v>0.19548125485625528</v>
      </c>
      <c r="K29" s="2"/>
      <c r="L29" s="6">
        <f t="shared" si="14"/>
        <v>-6624.3684615385009</v>
      </c>
      <c r="M29" s="2"/>
      <c r="N29" s="7">
        <f t="shared" si="15"/>
        <v>-0.35656025770015992</v>
      </c>
      <c r="O29" s="11"/>
      <c r="P29" s="6">
        <v>71499.039999999994</v>
      </c>
      <c r="Q29" s="2"/>
      <c r="R29" s="7">
        <f t="shared" si="16"/>
        <v>7.9628025436450672E-2</v>
      </c>
      <c r="S29" s="2"/>
      <c r="T29" s="6">
        <v>119772</v>
      </c>
      <c r="U29" s="2"/>
      <c r="V29" s="7">
        <f t="shared" si="17"/>
        <v>0.24754464285714287</v>
      </c>
      <c r="W29" s="2"/>
      <c r="X29" s="6">
        <f t="shared" si="18"/>
        <v>-48272.960000000006</v>
      </c>
      <c r="Y29" s="2"/>
      <c r="Z29" s="7">
        <f t="shared" si="19"/>
        <v>-0.40304044350933443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151.18</v>
      </c>
      <c r="E30" s="2"/>
      <c r="F30" s="7">
        <f t="shared" si="12"/>
        <v>8.7078842928498706E-4</v>
      </c>
      <c r="G30" s="2"/>
      <c r="H30" s="6">
        <v>138.637476923077</v>
      </c>
      <c r="I30" s="2"/>
      <c r="J30" s="7">
        <f t="shared" si="13"/>
        <v>1.458727661227662E-3</v>
      </c>
      <c r="K30" s="2"/>
      <c r="L30" s="6">
        <f t="shared" si="14"/>
        <v>12.542523076923004</v>
      </c>
      <c r="M30" s="2"/>
      <c r="N30" s="7">
        <f t="shared" si="15"/>
        <v>9.0469931762262396E-2</v>
      </c>
      <c r="O30" s="11"/>
      <c r="P30" s="6">
        <v>863.43</v>
      </c>
      <c r="Q30" s="2"/>
      <c r="R30" s="7">
        <f t="shared" si="16"/>
        <v>9.6159649140176726E-4</v>
      </c>
      <c r="S30" s="2"/>
      <c r="T30" s="6">
        <v>840.03359999999998</v>
      </c>
      <c r="U30" s="2"/>
      <c r="V30" s="7">
        <f t="shared" si="17"/>
        <v>1.7361805555555555E-3</v>
      </c>
      <c r="W30" s="2"/>
      <c r="X30" s="6">
        <f t="shared" si="18"/>
        <v>23.396399999999971</v>
      </c>
      <c r="Y30" s="2"/>
      <c r="Z30" s="7">
        <f t="shared" si="19"/>
        <v>2.7851743073134184E-2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6">
        <v>397.02</v>
      </c>
      <c r="E31" s="2"/>
      <c r="F31" s="7">
        <f t="shared" si="12"/>
        <v>2.2868132173219043E-3</v>
      </c>
      <c r="G31" s="2"/>
      <c r="H31" s="6">
        <v>408.83076923076902</v>
      </c>
      <c r="I31" s="2"/>
      <c r="J31" s="7">
        <f t="shared" si="13"/>
        <v>4.3016705516705491E-3</v>
      </c>
      <c r="K31" s="2"/>
      <c r="L31" s="6">
        <f t="shared" si="14"/>
        <v>-11.81076923076904</v>
      </c>
      <c r="M31" s="2"/>
      <c r="N31" s="7">
        <f t="shared" si="15"/>
        <v>-2.888913976066787E-2</v>
      </c>
      <c r="O31" s="11"/>
      <c r="P31" s="6">
        <v>3399.51</v>
      </c>
      <c r="Q31" s="2"/>
      <c r="R31" s="7">
        <f t="shared" si="16"/>
        <v>3.7860126338964619E-3</v>
      </c>
      <c r="S31" s="2"/>
      <c r="T31" s="6">
        <v>2657.4</v>
      </c>
      <c r="U31" s="2"/>
      <c r="V31" s="7">
        <f t="shared" si="17"/>
        <v>5.4923115079365085E-3</v>
      </c>
      <c r="W31" s="2"/>
      <c r="X31" s="6">
        <f t="shared" si="18"/>
        <v>742.11000000000013</v>
      </c>
      <c r="Y31" s="2"/>
      <c r="Z31" s="7">
        <f t="shared" si="19"/>
        <v>0.27926168435312715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"6117", " - ", "RETIREMENT STAFF HOURLY")</f>
        <v xml:space="preserve">          6117 - RETIREMENT STAFF HOURLY</v>
      </c>
      <c r="C33" s="11"/>
      <c r="D33" s="6">
        <v>726.17</v>
      </c>
      <c r="E33" s="2"/>
      <c r="F33" s="7">
        <f t="shared" si="12"/>
        <v>4.1826989925511241E-3</v>
      </c>
      <c r="G33" s="2"/>
      <c r="H33" s="6"/>
      <c r="I33" s="2"/>
      <c r="J33" s="7">
        <f t="shared" si="13"/>
        <v>0</v>
      </c>
      <c r="K33" s="2"/>
      <c r="L33" s="6">
        <f t="shared" si="14"/>
        <v>726.17</v>
      </c>
      <c r="M33" s="2"/>
      <c r="N33" s="7">
        <f t="shared" si="15"/>
        <v>0</v>
      </c>
      <c r="O33" s="11"/>
      <c r="P33" s="6">
        <v>4484</v>
      </c>
      <c r="Q33" s="2"/>
      <c r="R33" s="7">
        <f t="shared" si="16"/>
        <v>4.9938022392614625E-3</v>
      </c>
      <c r="S33" s="2"/>
      <c r="T33" s="6"/>
      <c r="U33" s="2"/>
      <c r="V33" s="7">
        <f t="shared" si="17"/>
        <v>0</v>
      </c>
      <c r="W33" s="2"/>
      <c r="X33" s="6">
        <f t="shared" si="18"/>
        <v>4484</v>
      </c>
      <c r="Y33" s="2"/>
      <c r="Z33" s="7">
        <f t="shared" si="19"/>
        <v>0</v>
      </c>
    </row>
    <row r="34" spans="1:26" s="24" customFormat="1" hidden="1" outlineLevel="2" x14ac:dyDescent="0.3">
      <c r="A34" s="29"/>
      <c r="B34" s="11" t="str">
        <f>CONCATENATE("          ", "6118", " - ", "VACATION")</f>
        <v xml:space="preserve">          6118 - VACATION</v>
      </c>
      <c r="C34" s="11"/>
      <c r="D34" s="6">
        <v>1599.52</v>
      </c>
      <c r="E34" s="2"/>
      <c r="F34" s="7">
        <f t="shared" si="12"/>
        <v>9.2131466358640179E-3</v>
      </c>
      <c r="G34" s="2"/>
      <c r="H34" s="6">
        <v>1625.81538461538</v>
      </c>
      <c r="I34" s="2"/>
      <c r="J34" s="7">
        <f t="shared" si="13"/>
        <v>1.710664335664331E-2</v>
      </c>
      <c r="K34" s="2"/>
      <c r="L34" s="6">
        <f t="shared" si="14"/>
        <v>-26.295384615380044</v>
      </c>
      <c r="M34" s="2"/>
      <c r="N34" s="7">
        <f t="shared" si="15"/>
        <v>-1.6173659607484129E-2</v>
      </c>
      <c r="O34" s="11"/>
      <c r="P34" s="6">
        <v>9817.75</v>
      </c>
      <c r="Q34" s="2"/>
      <c r="R34" s="7">
        <f t="shared" si="16"/>
        <v>1.0933965641059149E-2</v>
      </c>
      <c r="S34" s="2"/>
      <c r="T34" s="6">
        <v>10567.8</v>
      </c>
      <c r="U34" s="2"/>
      <c r="V34" s="7">
        <f t="shared" si="17"/>
        <v>2.1841517857142854E-2</v>
      </c>
      <c r="W34" s="2"/>
      <c r="X34" s="6">
        <f t="shared" si="18"/>
        <v>-750.04999999999927</v>
      </c>
      <c r="Y34" s="2"/>
      <c r="Z34" s="7">
        <f t="shared" si="19"/>
        <v>-7.0975037377694436E-2</v>
      </c>
    </row>
    <row r="35" spans="1:26" s="24" customFormat="1" hidden="1" outlineLevel="2" x14ac:dyDescent="0.3">
      <c r="A35" s="29"/>
      <c r="B35" s="11" t="str">
        <f>CONCATENATE("          ", "6119", " - ", "SICK LEAVE")</f>
        <v xml:space="preserve">          6119 - SICK LEAVE</v>
      </c>
      <c r="C35" s="11"/>
      <c r="D35" s="6">
        <v>1384.76</v>
      </c>
      <c r="E35" s="2"/>
      <c r="F35" s="7">
        <f t="shared" si="12"/>
        <v>7.976140926952497E-3</v>
      </c>
      <c r="G35" s="2"/>
      <c r="H35" s="6">
        <v>1980.5353846153801</v>
      </c>
      <c r="I35" s="2"/>
      <c r="J35" s="7">
        <f t="shared" si="13"/>
        <v>2.0838966588966543E-2</v>
      </c>
      <c r="K35" s="2"/>
      <c r="L35" s="6">
        <f t="shared" si="14"/>
        <v>-595.77538461538006</v>
      </c>
      <c r="M35" s="2"/>
      <c r="N35" s="7">
        <f t="shared" si="15"/>
        <v>-0.30081531955617125</v>
      </c>
      <c r="O35" s="11"/>
      <c r="P35" s="6">
        <v>8403.2800000000007</v>
      </c>
      <c r="Q35" s="2"/>
      <c r="R35" s="7">
        <f t="shared" si="16"/>
        <v>9.3586794114944392E-3</v>
      </c>
      <c r="S35" s="2"/>
      <c r="T35" s="6">
        <v>12000.48</v>
      </c>
      <c r="U35" s="2"/>
      <c r="V35" s="7">
        <f t="shared" si="17"/>
        <v>2.4802579365079364E-2</v>
      </c>
      <c r="W35" s="2"/>
      <c r="X35" s="6">
        <f t="shared" si="18"/>
        <v>-3597.1999999999989</v>
      </c>
      <c r="Y35" s="2"/>
      <c r="Z35" s="7">
        <f t="shared" si="19"/>
        <v>-0.29975467647960741</v>
      </c>
    </row>
    <row r="36" spans="1:26" s="24" customFormat="1" hidden="1" outlineLevel="2" x14ac:dyDescent="0.3">
      <c r="A36" s="29"/>
      <c r="B36" s="11" t="str">
        <f>CONCATENATE("          ", "6156", " - ", "EMPLOYEE MEALS")</f>
        <v xml:space="preserve">          6156 - EMPLOYEE MEALS</v>
      </c>
      <c r="C36" s="11"/>
      <c r="D36" s="6">
        <v>925.12</v>
      </c>
      <c r="E36" s="2"/>
      <c r="F36" s="7">
        <f t="shared" si="12"/>
        <v>5.3286399768496303E-3</v>
      </c>
      <c r="G36" s="2"/>
      <c r="H36" s="6">
        <v>1925</v>
      </c>
      <c r="I36" s="2"/>
      <c r="J36" s="7">
        <f t="shared" si="13"/>
        <v>2.0254629629629629E-2</v>
      </c>
      <c r="K36" s="2"/>
      <c r="L36" s="6">
        <f t="shared" si="14"/>
        <v>-999.88</v>
      </c>
      <c r="M36" s="2"/>
      <c r="N36" s="7">
        <f t="shared" si="15"/>
        <v>-0.51941818181818178</v>
      </c>
      <c r="O36" s="11"/>
      <c r="P36" s="6">
        <v>6446.38</v>
      </c>
      <c r="Q36" s="2"/>
      <c r="R36" s="7">
        <f t="shared" si="16"/>
        <v>7.179292345925581E-3</v>
      </c>
      <c r="S36" s="2"/>
      <c r="T36" s="6">
        <v>11550</v>
      </c>
      <c r="U36" s="2"/>
      <c r="V36" s="7">
        <f t="shared" si="17"/>
        <v>2.3871527777777776E-2</v>
      </c>
      <c r="W36" s="2"/>
      <c r="X36" s="6">
        <f t="shared" si="18"/>
        <v>-5103.62</v>
      </c>
      <c r="Y36" s="2"/>
      <c r="Z36" s="7">
        <f t="shared" si="19"/>
        <v>-0.44187186147186147</v>
      </c>
    </row>
    <row r="37" spans="1:26" s="28" customFormat="1" outlineLevel="1" collapsed="1" x14ac:dyDescent="0.3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65424.09</v>
      </c>
      <c r="E37" s="1"/>
      <c r="F37" s="5">
        <f t="shared" ref="F37:F47" si="20">IF(D$12=0,0,D37/D$12)</f>
        <v>0.37683913592075419</v>
      </c>
      <c r="G37" s="1"/>
      <c r="H37" s="1">
        <f>SUM(OSRRefH22_1x_0)</f>
        <v>62411.49538461538</v>
      </c>
      <c r="I37" s="1"/>
      <c r="J37" s="5">
        <f t="shared" ref="J37:J47" si="21">IF(H$12=0,0,H37/H$12)</f>
        <v>0.65668660968660963</v>
      </c>
      <c r="K37" s="1"/>
      <c r="L37" s="1">
        <f t="shared" ref="L37:L47" si="22">+D37-H37</f>
        <v>3012.5946153846162</v>
      </c>
      <c r="M37" s="1"/>
      <c r="N37" s="5">
        <f t="shared" ref="N37:N47" si="23">IF(H37=0,0,L37/H37)</f>
        <v>4.8269867543139014E-2</v>
      </c>
      <c r="O37" s="14"/>
      <c r="P37" s="1">
        <f>SUM(OSRRefP22_1x_0)</f>
        <v>363834.68</v>
      </c>
      <c r="Q37" s="1"/>
      <c r="R37" s="5">
        <f t="shared" ref="R37:R47" si="24">IF(P$12=0,0,P37/P$12)</f>
        <v>0.40520036567907619</v>
      </c>
      <c r="S37" s="1"/>
      <c r="T37" s="1">
        <f>SUM(OSRRefT22_1x_0)</f>
        <v>377447.72</v>
      </c>
      <c r="U37" s="1"/>
      <c r="V37" s="5">
        <f t="shared" ref="V37:V47" si="25">IF(T$12=0,0,T37/T$12)</f>
        <v>0.7801085482804232</v>
      </c>
      <c r="W37" s="1"/>
      <c r="X37" s="1">
        <f t="shared" ref="X37:X47" si="26">+P37-T37</f>
        <v>-13613.039999999979</v>
      </c>
      <c r="Y37" s="1"/>
      <c r="Z37" s="5">
        <f t="shared" ref="Z37:Z47" si="27">IF(T37=0,0,X37/T37)</f>
        <v>-3.6066027899174964E-2</v>
      </c>
    </row>
    <row r="38" spans="1:26" s="24" customFormat="1" hidden="1" outlineLevel="2" x14ac:dyDescent="0.3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"6002", " - ", "STAFF SALARIES")</f>
        <v xml:space="preserve">          6002 - STAFF SALARIES</v>
      </c>
      <c r="C39" s="11"/>
      <c r="D39" s="6">
        <v>4707.7</v>
      </c>
      <c r="E39" s="2"/>
      <c r="F39" s="7">
        <f t="shared" si="20"/>
        <v>2.7116091338437179E-2</v>
      </c>
      <c r="G39" s="2"/>
      <c r="H39" s="6">
        <v>4468.6153846153802</v>
      </c>
      <c r="I39" s="2"/>
      <c r="J39" s="7">
        <f t="shared" si="21"/>
        <v>4.701825951825947E-2</v>
      </c>
      <c r="K39" s="2"/>
      <c r="L39" s="6">
        <f t="shared" si="22"/>
        <v>239.08461538461961</v>
      </c>
      <c r="M39" s="2"/>
      <c r="N39" s="7">
        <f t="shared" si="23"/>
        <v>5.3503064105213417E-2</v>
      </c>
      <c r="O39" s="11"/>
      <c r="P39" s="6">
        <v>34868.94</v>
      </c>
      <c r="Q39" s="2"/>
      <c r="R39" s="7">
        <f t="shared" si="24"/>
        <v>3.8833316381060121E-2</v>
      </c>
      <c r="S39" s="2"/>
      <c r="T39" s="6">
        <v>29046</v>
      </c>
      <c r="U39" s="2"/>
      <c r="V39" s="7">
        <f t="shared" si="25"/>
        <v>6.0032242063492065E-2</v>
      </c>
      <c r="W39" s="2"/>
      <c r="X39" s="6">
        <f t="shared" si="26"/>
        <v>5822.9400000000023</v>
      </c>
      <c r="Y39" s="2"/>
      <c r="Z39" s="7">
        <f t="shared" si="27"/>
        <v>0.20047304275976047</v>
      </c>
    </row>
    <row r="40" spans="1:26" s="24" customFormat="1" hidden="1" outlineLevel="2" x14ac:dyDescent="0.3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"6004", " - ", "STAFF HOURLY")</f>
        <v xml:space="preserve">          6004 - STAFF HOURLY</v>
      </c>
      <c r="C41" s="11"/>
      <c r="D41" s="6">
        <v>23297.05</v>
      </c>
      <c r="E41" s="2"/>
      <c r="F41" s="7">
        <f t="shared" si="20"/>
        <v>0.13418971806107821</v>
      </c>
      <c r="G41" s="2"/>
      <c r="H41" s="6">
        <v>27290.880000000001</v>
      </c>
      <c r="I41" s="2"/>
      <c r="J41" s="7">
        <f t="shared" si="21"/>
        <v>0.28715151515151516</v>
      </c>
      <c r="K41" s="2"/>
      <c r="L41" s="6">
        <f t="shared" si="22"/>
        <v>-3993.8300000000017</v>
      </c>
      <c r="M41" s="2"/>
      <c r="N41" s="7">
        <f t="shared" si="23"/>
        <v>-0.14634302741428645</v>
      </c>
      <c r="O41" s="11"/>
      <c r="P41" s="6">
        <v>157718.51999999999</v>
      </c>
      <c r="Q41" s="2"/>
      <c r="R41" s="7">
        <f t="shared" si="24"/>
        <v>0.17565011113938531</v>
      </c>
      <c r="S41" s="2"/>
      <c r="T41" s="6">
        <v>177390.72</v>
      </c>
      <c r="U41" s="2"/>
      <c r="V41" s="7">
        <f t="shared" si="25"/>
        <v>0.36663095238095239</v>
      </c>
      <c r="W41" s="2"/>
      <c r="X41" s="6">
        <f t="shared" si="26"/>
        <v>-19672.200000000012</v>
      </c>
      <c r="Y41" s="2"/>
      <c r="Z41" s="7">
        <f t="shared" si="27"/>
        <v>-0.11089757119199929</v>
      </c>
    </row>
    <row r="42" spans="1:26" s="24" customFormat="1" hidden="1" outlineLevel="2" x14ac:dyDescent="0.3">
      <c r="A42" s="29"/>
      <c r="B42" s="11" t="str">
        <f>CONCATENATE("          ", "6005", " - ", "TEMPORARY WAGES-HOURLY")</f>
        <v xml:space="preserve">          6005 - TEMPORARY WAGES-HOURLY</v>
      </c>
      <c r="C42" s="11"/>
      <c r="D42" s="6">
        <v>14233.56</v>
      </c>
      <c r="E42" s="2"/>
      <c r="F42" s="7">
        <f t="shared" si="20"/>
        <v>8.1984517499230178E-2</v>
      </c>
      <c r="G42" s="2"/>
      <c r="H42" s="6">
        <v>6208</v>
      </c>
      <c r="I42" s="2"/>
      <c r="J42" s="7">
        <f t="shared" si="21"/>
        <v>6.531986531986532E-2</v>
      </c>
      <c r="K42" s="2"/>
      <c r="L42" s="6">
        <f t="shared" si="22"/>
        <v>8025.5599999999995</v>
      </c>
      <c r="M42" s="2"/>
      <c r="N42" s="7">
        <f t="shared" si="23"/>
        <v>1.29277706185567</v>
      </c>
      <c r="O42" s="11"/>
      <c r="P42" s="6">
        <v>70822.77</v>
      </c>
      <c r="Q42" s="2"/>
      <c r="R42" s="7">
        <f t="shared" si="24"/>
        <v>7.8874867844937455E-2</v>
      </c>
      <c r="S42" s="2"/>
      <c r="T42" s="6">
        <v>37248</v>
      </c>
      <c r="U42" s="2"/>
      <c r="V42" s="7">
        <f t="shared" si="25"/>
        <v>7.6984126984126988E-2</v>
      </c>
      <c r="W42" s="2"/>
      <c r="X42" s="6">
        <f t="shared" si="26"/>
        <v>33574.770000000004</v>
      </c>
      <c r="Y42" s="2"/>
      <c r="Z42" s="7">
        <f t="shared" si="27"/>
        <v>0.90138450386597946</v>
      </c>
    </row>
    <row r="43" spans="1:26" s="24" customFormat="1" hidden="1" outlineLevel="2" x14ac:dyDescent="0.3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"6007", " - ", "STUDENT HOURLY")</f>
        <v xml:space="preserve">          6007 - STUDENT HOURLY</v>
      </c>
      <c r="C44" s="11"/>
      <c r="D44" s="6">
        <v>15150.97</v>
      </c>
      <c r="E44" s="2"/>
      <c r="F44" s="7">
        <f t="shared" si="20"/>
        <v>8.7268748302976304E-2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15150.97</v>
      </c>
      <c r="M44" s="2"/>
      <c r="N44" s="7">
        <f t="shared" si="23"/>
        <v>0</v>
      </c>
      <c r="O44" s="11"/>
      <c r="P44" s="6">
        <v>78374.45</v>
      </c>
      <c r="Q44" s="2"/>
      <c r="R44" s="7">
        <f t="shared" si="24"/>
        <v>8.7285125760679191E-2</v>
      </c>
      <c r="S44" s="2"/>
      <c r="T44" s="6">
        <v>12561.5</v>
      </c>
      <c r="U44" s="2"/>
      <c r="V44" s="7">
        <f t="shared" si="25"/>
        <v>2.5962094907407408E-2</v>
      </c>
      <c r="W44" s="2"/>
      <c r="X44" s="6">
        <f t="shared" si="26"/>
        <v>65812.95</v>
      </c>
      <c r="Y44" s="2"/>
      <c r="Z44" s="7">
        <f t="shared" si="27"/>
        <v>5.2392588464753409</v>
      </c>
    </row>
    <row r="45" spans="1:26" s="24" customFormat="1" hidden="1" outlineLevel="2" x14ac:dyDescent="0.3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>
        <v>8034.81</v>
      </c>
      <c r="E45" s="2"/>
      <c r="F45" s="7">
        <f t="shared" si="20"/>
        <v>4.6280060719032325E-2</v>
      </c>
      <c r="G45" s="2"/>
      <c r="H45" s="6">
        <v>24444</v>
      </c>
      <c r="I45" s="2"/>
      <c r="J45" s="7">
        <f t="shared" si="21"/>
        <v>0.2571969696969697</v>
      </c>
      <c r="K45" s="2"/>
      <c r="L45" s="6">
        <f t="shared" si="22"/>
        <v>-16409.189999999999</v>
      </c>
      <c r="M45" s="2"/>
      <c r="N45" s="7">
        <f t="shared" si="23"/>
        <v>-0.67129725085910652</v>
      </c>
      <c r="O45" s="11"/>
      <c r="P45" s="6">
        <v>22050</v>
      </c>
      <c r="Q45" s="2"/>
      <c r="R45" s="7">
        <f t="shared" si="24"/>
        <v>2.4556944553014104E-2</v>
      </c>
      <c r="S45" s="2"/>
      <c r="T45" s="6">
        <v>121201.5</v>
      </c>
      <c r="U45" s="2"/>
      <c r="V45" s="7">
        <f t="shared" si="25"/>
        <v>0.25049913194444445</v>
      </c>
      <c r="W45" s="2"/>
      <c r="X45" s="6">
        <f t="shared" si="26"/>
        <v>-99151.5</v>
      </c>
      <c r="Y45" s="2"/>
      <c r="Z45" s="7">
        <f t="shared" si="27"/>
        <v>-0.81807155852031532</v>
      </c>
    </row>
    <row r="46" spans="1:26" s="24" customFormat="1" hidden="1" outlineLevel="2" x14ac:dyDescent="0.3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68.040000000000006</v>
      </c>
      <c r="E48" s="1"/>
      <c r="F48" s="5">
        <f t="shared" ref="F48:F69" si="28">IF(D$12=0,0,D48/D$12)</f>
        <v>3.9190663267992139E-4</v>
      </c>
      <c r="G48" s="1"/>
      <c r="H48" s="1">
        <f>SUM(OSRRefH22_2x_0)</f>
        <v>350</v>
      </c>
      <c r="I48" s="1"/>
      <c r="J48" s="5">
        <f t="shared" ref="J48:J69" si="29">IF(H$12=0,0,H48/H$12)</f>
        <v>3.6826599326599328E-3</v>
      </c>
      <c r="K48" s="1"/>
      <c r="L48" s="1">
        <f t="shared" ref="L48:L69" si="30">+D48-H48</f>
        <v>-281.95999999999998</v>
      </c>
      <c r="M48" s="1"/>
      <c r="N48" s="5">
        <f t="shared" ref="N48:N69" si="31">IF(H48=0,0,L48/H48)</f>
        <v>-0.80559999999999998</v>
      </c>
      <c r="O48" s="14"/>
      <c r="P48" s="1">
        <f>SUM(OSRRefP22_2x_0)</f>
        <v>923.31</v>
      </c>
      <c r="Q48" s="1"/>
      <c r="R48" s="5">
        <f t="shared" ref="R48:R69" si="32">IF(P$12=0,0,P48/P$12)</f>
        <v>1.0282844659974355E-3</v>
      </c>
      <c r="S48" s="1"/>
      <c r="T48" s="1">
        <f>SUM(OSRRefT22_2x_0)</f>
        <v>2100</v>
      </c>
      <c r="U48" s="1"/>
      <c r="V48" s="5">
        <f t="shared" ref="V48:V69" si="33">IF(T$12=0,0,T48/T$12)</f>
        <v>4.340277777777778E-3</v>
      </c>
      <c r="W48" s="1"/>
      <c r="X48" s="1">
        <f t="shared" ref="X48:X69" si="34">+P48-T48</f>
        <v>-1176.69</v>
      </c>
      <c r="Y48" s="1"/>
      <c r="Z48" s="5">
        <f t="shared" ref="Z48:Z69" si="35">IF(T48=0,0,X48/T48)</f>
        <v>-0.56032857142857151</v>
      </c>
    </row>
    <row r="49" spans="1:26" s="24" customFormat="1" hidden="1" outlineLevel="2" x14ac:dyDescent="0.3">
      <c r="A49" s="29"/>
      <c r="B49" s="11" t="str">
        <f>CONCATENATE("          ", "6362", " - ", "ADVERTISING EXPENSE")</f>
        <v xml:space="preserve">          6362 - ADVERTISING EXPENSE</v>
      </c>
      <c r="C49" s="11"/>
      <c r="D49" s="6">
        <v>68.040000000000006</v>
      </c>
      <c r="E49" s="2"/>
      <c r="F49" s="7">
        <f t="shared" si="28"/>
        <v>3.9190663267992139E-4</v>
      </c>
      <c r="G49" s="2"/>
      <c r="H49" s="6">
        <v>350</v>
      </c>
      <c r="I49" s="2"/>
      <c r="J49" s="7">
        <f t="shared" si="29"/>
        <v>3.6826599326599328E-3</v>
      </c>
      <c r="K49" s="2"/>
      <c r="L49" s="6">
        <f t="shared" si="30"/>
        <v>-281.95999999999998</v>
      </c>
      <c r="M49" s="2"/>
      <c r="N49" s="7">
        <f t="shared" si="31"/>
        <v>-0.80559999999999998</v>
      </c>
      <c r="O49" s="11"/>
      <c r="P49" s="6">
        <v>923.31</v>
      </c>
      <c r="Q49" s="2"/>
      <c r="R49" s="7">
        <f t="shared" si="32"/>
        <v>1.0282844659974355E-3</v>
      </c>
      <c r="S49" s="2"/>
      <c r="T49" s="6">
        <v>2100</v>
      </c>
      <c r="U49" s="2"/>
      <c r="V49" s="7">
        <f t="shared" si="33"/>
        <v>4.340277777777778E-3</v>
      </c>
      <c r="W49" s="2"/>
      <c r="X49" s="6">
        <f t="shared" si="34"/>
        <v>-1176.69</v>
      </c>
      <c r="Y49" s="2"/>
      <c r="Z49" s="7">
        <f t="shared" si="35"/>
        <v>-0.56032857142857151</v>
      </c>
    </row>
    <row r="50" spans="1:26" s="28" customFormat="1" outlineLevel="1" collapsed="1" x14ac:dyDescent="0.3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10</v>
      </c>
      <c r="I50" s="1"/>
      <c r="J50" s="5">
        <f t="shared" si="29"/>
        <v>1.0521885521885521E-4</v>
      </c>
      <c r="K50" s="1"/>
      <c r="L50" s="1">
        <f t="shared" si="30"/>
        <v>-10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50</v>
      </c>
      <c r="U50" s="1"/>
      <c r="V50" s="5">
        <f t="shared" si="33"/>
        <v>1.0333994708994708E-4</v>
      </c>
      <c r="W50" s="1"/>
      <c r="X50" s="1">
        <f t="shared" si="34"/>
        <v>-50</v>
      </c>
      <c r="Y50" s="1"/>
      <c r="Z50" s="5">
        <f t="shared" si="35"/>
        <v>-1</v>
      </c>
    </row>
    <row r="51" spans="1:26" s="24" customFormat="1" hidden="1" outlineLevel="2" x14ac:dyDescent="0.3">
      <c r="A51" s="29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10</v>
      </c>
      <c r="I51" s="2"/>
      <c r="J51" s="7">
        <f t="shared" si="29"/>
        <v>1.0521885521885521E-4</v>
      </c>
      <c r="K51" s="2"/>
      <c r="L51" s="6">
        <f t="shared" si="30"/>
        <v>-10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50</v>
      </c>
      <c r="U51" s="2"/>
      <c r="V51" s="7">
        <f t="shared" si="33"/>
        <v>1.0333994708994708E-4</v>
      </c>
      <c r="W51" s="2"/>
      <c r="X51" s="6">
        <f t="shared" si="34"/>
        <v>-50</v>
      </c>
      <c r="Y51" s="2"/>
      <c r="Z51" s="7">
        <f t="shared" si="35"/>
        <v>-1</v>
      </c>
    </row>
    <row r="52" spans="1:26" s="28" customFormat="1" outlineLevel="1" collapsed="1" x14ac:dyDescent="0.3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68.28</v>
      </c>
      <c r="E52" s="1"/>
      <c r="F52" s="5">
        <f t="shared" si="28"/>
        <v>3.9328901939131441E-4</v>
      </c>
      <c r="G52" s="1"/>
      <c r="H52" s="1">
        <f>SUM(OSRRefH22_4x_0)</f>
        <v>25</v>
      </c>
      <c r="I52" s="1"/>
      <c r="J52" s="5">
        <f t="shared" si="29"/>
        <v>2.6304713804713804E-4</v>
      </c>
      <c r="K52" s="1"/>
      <c r="L52" s="1">
        <f t="shared" si="30"/>
        <v>43.28</v>
      </c>
      <c r="M52" s="1"/>
      <c r="N52" s="5">
        <f t="shared" si="31"/>
        <v>1.7312000000000001</v>
      </c>
      <c r="O52" s="14"/>
      <c r="P52" s="1">
        <f>SUM(OSRRefP22_4x_0)</f>
        <v>255.57</v>
      </c>
      <c r="Q52" s="1"/>
      <c r="R52" s="5">
        <f t="shared" si="32"/>
        <v>2.8462668115255397E-4</v>
      </c>
      <c r="S52" s="1"/>
      <c r="T52" s="1">
        <f>SUM(OSRRefT22_4x_0)</f>
        <v>125</v>
      </c>
      <c r="U52" s="1"/>
      <c r="V52" s="5">
        <f t="shared" si="33"/>
        <v>2.5834986772486771E-4</v>
      </c>
      <c r="W52" s="1"/>
      <c r="X52" s="1">
        <f t="shared" si="34"/>
        <v>130.57</v>
      </c>
      <c r="Y52" s="1"/>
      <c r="Z52" s="5">
        <f t="shared" si="35"/>
        <v>1.0445599999999999</v>
      </c>
    </row>
    <row r="53" spans="1:26" s="24" customFormat="1" hidden="1" outlineLevel="2" x14ac:dyDescent="0.3">
      <c r="A53" s="29"/>
      <c r="B53" s="11" t="str">
        <f>CONCATENATE("          ", "6381", " - ", "BANK/CREDIT CARD FEES")</f>
        <v xml:space="preserve">          6381 - BANK/CREDIT CARD FEES</v>
      </c>
      <c r="C53" s="11"/>
      <c r="D53" s="6">
        <v>68.28</v>
      </c>
      <c r="E53" s="2"/>
      <c r="F53" s="7">
        <f t="shared" si="28"/>
        <v>3.9328901939131441E-4</v>
      </c>
      <c r="G53" s="2"/>
      <c r="H53" s="6">
        <v>25</v>
      </c>
      <c r="I53" s="2"/>
      <c r="J53" s="7">
        <f t="shared" si="29"/>
        <v>2.6304713804713804E-4</v>
      </c>
      <c r="K53" s="2"/>
      <c r="L53" s="6">
        <f t="shared" si="30"/>
        <v>43.28</v>
      </c>
      <c r="M53" s="2"/>
      <c r="N53" s="7">
        <f t="shared" si="31"/>
        <v>1.7312000000000001</v>
      </c>
      <c r="O53" s="11"/>
      <c r="P53" s="6">
        <v>255.57</v>
      </c>
      <c r="Q53" s="2"/>
      <c r="R53" s="7">
        <f t="shared" si="32"/>
        <v>2.8462668115255397E-4</v>
      </c>
      <c r="S53" s="2"/>
      <c r="T53" s="6">
        <v>125</v>
      </c>
      <c r="U53" s="2"/>
      <c r="V53" s="7">
        <f t="shared" si="33"/>
        <v>2.5834986772486771E-4</v>
      </c>
      <c r="W53" s="2"/>
      <c r="X53" s="6">
        <f t="shared" si="34"/>
        <v>130.57</v>
      </c>
      <c r="Y53" s="2"/>
      <c r="Z53" s="7">
        <f t="shared" si="35"/>
        <v>1.0445599999999999</v>
      </c>
    </row>
    <row r="54" spans="1:26" s="28" customFormat="1" outlineLevel="1" collapsed="1" x14ac:dyDescent="0.3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213.02</v>
      </c>
      <c r="E54" s="1"/>
      <c r="F54" s="5">
        <f t="shared" si="28"/>
        <v>1.2269834052539221E-3</v>
      </c>
      <c r="G54" s="1"/>
      <c r="H54" s="1">
        <f>SUM(OSRRefH22_5x_0)</f>
        <v>213</v>
      </c>
      <c r="I54" s="1"/>
      <c r="J54" s="5">
        <f t="shared" si="29"/>
        <v>2.2411616161616163E-3</v>
      </c>
      <c r="K54" s="1"/>
      <c r="L54" s="1">
        <f t="shared" si="30"/>
        <v>2.0000000000010232E-2</v>
      </c>
      <c r="M54" s="1"/>
      <c r="N54" s="5">
        <f t="shared" si="31"/>
        <v>9.3896713615071505E-5</v>
      </c>
      <c r="O54" s="14"/>
      <c r="P54" s="1">
        <f>SUM(OSRRefP22_5x_0)</f>
        <v>1278.1199999999999</v>
      </c>
      <c r="Q54" s="1"/>
      <c r="R54" s="5">
        <f t="shared" si="32"/>
        <v>1.4234341030430107E-3</v>
      </c>
      <c r="S54" s="1"/>
      <c r="T54" s="1">
        <f>SUM(OSRRefT22_5x_0)</f>
        <v>1278</v>
      </c>
      <c r="U54" s="1"/>
      <c r="V54" s="5">
        <f t="shared" si="33"/>
        <v>2.6413690476190478E-3</v>
      </c>
      <c r="W54" s="1"/>
      <c r="X54" s="1">
        <f t="shared" si="34"/>
        <v>0.11999999999989086</v>
      </c>
      <c r="Y54" s="1"/>
      <c r="Z54" s="5">
        <f t="shared" si="35"/>
        <v>9.389671361493808E-5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213.02</v>
      </c>
      <c r="E55" s="2"/>
      <c r="F55" s="7">
        <f t="shared" si="28"/>
        <v>1.2269834052539221E-3</v>
      </c>
      <c r="G55" s="2"/>
      <c r="H55" s="6">
        <v>213</v>
      </c>
      <c r="I55" s="2"/>
      <c r="J55" s="7">
        <f t="shared" si="29"/>
        <v>2.2411616161616163E-3</v>
      </c>
      <c r="K55" s="2"/>
      <c r="L55" s="6">
        <f t="shared" si="30"/>
        <v>2.0000000000010232E-2</v>
      </c>
      <c r="M55" s="2"/>
      <c r="N55" s="7">
        <f t="shared" si="31"/>
        <v>9.3896713615071505E-5</v>
      </c>
      <c r="O55" s="11"/>
      <c r="P55" s="6">
        <v>1278.1199999999999</v>
      </c>
      <c r="Q55" s="2"/>
      <c r="R55" s="7">
        <f t="shared" si="32"/>
        <v>1.4234341030430107E-3</v>
      </c>
      <c r="S55" s="2"/>
      <c r="T55" s="6">
        <v>1278</v>
      </c>
      <c r="U55" s="2"/>
      <c r="V55" s="7">
        <f t="shared" si="33"/>
        <v>2.6413690476190478E-3</v>
      </c>
      <c r="W55" s="2"/>
      <c r="X55" s="6">
        <f t="shared" si="34"/>
        <v>0.11999999999989086</v>
      </c>
      <c r="Y55" s="2"/>
      <c r="Z55" s="7">
        <f t="shared" si="35"/>
        <v>9.389671361493808E-5</v>
      </c>
    </row>
    <row r="56" spans="1:26" s="28" customFormat="1" outlineLevel="1" collapsed="1" x14ac:dyDescent="0.3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413.93</v>
      </c>
      <c r="E56" s="1"/>
      <c r="F56" s="5">
        <f t="shared" si="28"/>
        <v>2.3842138810288046E-3</v>
      </c>
      <c r="G56" s="1"/>
      <c r="H56" s="1">
        <f>SUM(OSRRefH22_6x_0)</f>
        <v>3000</v>
      </c>
      <c r="I56" s="1"/>
      <c r="J56" s="5">
        <f t="shared" si="29"/>
        <v>3.1565656565656568E-2</v>
      </c>
      <c r="K56" s="1"/>
      <c r="L56" s="1">
        <f t="shared" si="30"/>
        <v>-2586.0700000000002</v>
      </c>
      <c r="M56" s="1"/>
      <c r="N56" s="5">
        <f t="shared" si="31"/>
        <v>-0.86202333333333336</v>
      </c>
      <c r="O56" s="14"/>
      <c r="P56" s="1">
        <f>SUM(OSRRefP22_6x_0)</f>
        <v>6060</v>
      </c>
      <c r="Q56" s="1"/>
      <c r="R56" s="5">
        <f t="shared" si="32"/>
        <v>6.7489834009644206E-3</v>
      </c>
      <c r="S56" s="1"/>
      <c r="T56" s="1">
        <f>SUM(OSRRefT22_6x_0)</f>
        <v>15000</v>
      </c>
      <c r="U56" s="1"/>
      <c r="V56" s="5">
        <f t="shared" si="33"/>
        <v>3.1001984126984128E-2</v>
      </c>
      <c r="W56" s="1"/>
      <c r="X56" s="1">
        <f t="shared" si="34"/>
        <v>-8940</v>
      </c>
      <c r="Y56" s="1"/>
      <c r="Z56" s="5">
        <f t="shared" si="35"/>
        <v>-0.59599999999999997</v>
      </c>
    </row>
    <row r="57" spans="1:26" s="24" customFormat="1" hidden="1" outlineLevel="2" x14ac:dyDescent="0.3">
      <c r="A57" s="29"/>
      <c r="B57" s="11" t="str">
        <f>CONCATENATE("          ", "6399", " - ", "DONATION-ON CAMPUS")</f>
        <v xml:space="preserve">          6399 - DONATION-ON CAMPUS</v>
      </c>
      <c r="C57" s="11"/>
      <c r="D57" s="6">
        <v>413.93</v>
      </c>
      <c r="E57" s="2"/>
      <c r="F57" s="7">
        <f t="shared" si="28"/>
        <v>2.3842138810288046E-3</v>
      </c>
      <c r="G57" s="2"/>
      <c r="H57" s="6">
        <v>3000</v>
      </c>
      <c r="I57" s="2"/>
      <c r="J57" s="7">
        <f t="shared" si="29"/>
        <v>3.1565656565656568E-2</v>
      </c>
      <c r="K57" s="2"/>
      <c r="L57" s="6">
        <f t="shared" si="30"/>
        <v>-2586.0700000000002</v>
      </c>
      <c r="M57" s="2"/>
      <c r="N57" s="7">
        <f t="shared" si="31"/>
        <v>-0.86202333333333336</v>
      </c>
      <c r="O57" s="11"/>
      <c r="P57" s="6">
        <v>6060</v>
      </c>
      <c r="Q57" s="2"/>
      <c r="R57" s="7">
        <f t="shared" si="32"/>
        <v>6.7489834009644206E-3</v>
      </c>
      <c r="S57" s="2"/>
      <c r="T57" s="6">
        <v>15000</v>
      </c>
      <c r="U57" s="2"/>
      <c r="V57" s="7">
        <f t="shared" si="33"/>
        <v>3.1001984126984128E-2</v>
      </c>
      <c r="W57" s="2"/>
      <c r="X57" s="6">
        <f t="shared" si="34"/>
        <v>-8940</v>
      </c>
      <c r="Y57" s="2"/>
      <c r="Z57" s="7">
        <f t="shared" si="35"/>
        <v>-0.59599999999999997</v>
      </c>
    </row>
    <row r="58" spans="1:26" s="28" customFormat="1" outlineLevel="1" collapsed="1" x14ac:dyDescent="0.3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50</v>
      </c>
      <c r="I58" s="1"/>
      <c r="J58" s="5">
        <f t="shared" si="29"/>
        <v>5.2609427609427608E-4</v>
      </c>
      <c r="K58" s="1"/>
      <c r="L58" s="1">
        <f t="shared" si="30"/>
        <v>-50</v>
      </c>
      <c r="M58" s="1"/>
      <c r="N58" s="5">
        <f t="shared" si="31"/>
        <v>-1</v>
      </c>
      <c r="O58" s="14"/>
      <c r="P58" s="1">
        <f>SUM(OSRRefP22_7x_0)</f>
        <v>14.49</v>
      </c>
      <c r="Q58" s="1"/>
      <c r="R58" s="5">
        <f t="shared" si="32"/>
        <v>1.6137420706266412E-5</v>
      </c>
      <c r="S58" s="1"/>
      <c r="T58" s="1">
        <f>SUM(OSRRefT22_7x_0)</f>
        <v>300</v>
      </c>
      <c r="U58" s="1"/>
      <c r="V58" s="5">
        <f t="shared" si="33"/>
        <v>6.2003968253968251E-4</v>
      </c>
      <c r="W58" s="1"/>
      <c r="X58" s="1">
        <f t="shared" si="34"/>
        <v>-285.51</v>
      </c>
      <c r="Y58" s="1"/>
      <c r="Z58" s="5">
        <f t="shared" si="35"/>
        <v>-0.95169999999999999</v>
      </c>
    </row>
    <row r="59" spans="1:26" s="24" customFormat="1" hidden="1" outlineLevel="2" x14ac:dyDescent="0.3">
      <c r="A59" s="29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50</v>
      </c>
      <c r="I59" s="2"/>
      <c r="J59" s="7">
        <f t="shared" si="29"/>
        <v>5.2609427609427608E-4</v>
      </c>
      <c r="K59" s="2"/>
      <c r="L59" s="6">
        <f t="shared" si="30"/>
        <v>-50</v>
      </c>
      <c r="M59" s="2"/>
      <c r="N59" s="7">
        <f t="shared" si="31"/>
        <v>-1</v>
      </c>
      <c r="O59" s="11"/>
      <c r="P59" s="6">
        <v>14.49</v>
      </c>
      <c r="Q59" s="2"/>
      <c r="R59" s="7">
        <f t="shared" si="32"/>
        <v>1.6137420706266412E-5</v>
      </c>
      <c r="S59" s="2"/>
      <c r="T59" s="6">
        <v>300</v>
      </c>
      <c r="U59" s="2"/>
      <c r="V59" s="7">
        <f t="shared" si="33"/>
        <v>6.2003968253968251E-4</v>
      </c>
      <c r="W59" s="2"/>
      <c r="X59" s="6">
        <f t="shared" si="34"/>
        <v>-285.51</v>
      </c>
      <c r="Y59" s="2"/>
      <c r="Z59" s="7">
        <f t="shared" si="35"/>
        <v>-0.95169999999999999</v>
      </c>
    </row>
    <row r="60" spans="1:26" s="28" customFormat="1" outlineLevel="1" collapsed="1" x14ac:dyDescent="0.3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SUM(OSRRefP22_8x_0)</f>
        <v>1767.16</v>
      </c>
      <c r="Q60" s="1"/>
      <c r="R60" s="5">
        <f t="shared" si="32"/>
        <v>1.9680748361135788E-3</v>
      </c>
      <c r="S60" s="1"/>
      <c r="T60" s="1">
        <f>SUM(OSRRefT22_8x_0)</f>
        <v>1700</v>
      </c>
      <c r="U60" s="1"/>
      <c r="V60" s="5">
        <f t="shared" si="33"/>
        <v>3.5135582010582009E-3</v>
      </c>
      <c r="W60" s="1"/>
      <c r="X60" s="1">
        <f t="shared" si="34"/>
        <v>67.160000000000082</v>
      </c>
      <c r="Y60" s="1"/>
      <c r="Z60" s="5">
        <f t="shared" si="35"/>
        <v>3.9505882352941224E-2</v>
      </c>
    </row>
    <row r="61" spans="1:26" s="24" customFormat="1" hidden="1" outlineLevel="2" x14ac:dyDescent="0.3">
      <c r="A61" s="29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1767.16</v>
      </c>
      <c r="Q61" s="2"/>
      <c r="R61" s="7">
        <f t="shared" si="32"/>
        <v>1.9680748361135788E-3</v>
      </c>
      <c r="S61" s="2"/>
      <c r="T61" s="6">
        <v>1700</v>
      </c>
      <c r="U61" s="2"/>
      <c r="V61" s="7">
        <f t="shared" si="33"/>
        <v>3.5135582010582009E-3</v>
      </c>
      <c r="W61" s="2"/>
      <c r="X61" s="6">
        <f t="shared" si="34"/>
        <v>67.160000000000082</v>
      </c>
      <c r="Y61" s="2"/>
      <c r="Z61" s="7">
        <f t="shared" si="35"/>
        <v>3.9505882352941224E-2</v>
      </c>
    </row>
    <row r="62" spans="1:26" s="28" customFormat="1" outlineLevel="1" collapsed="1" x14ac:dyDescent="0.3">
      <c r="A62" s="27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5.21</v>
      </c>
      <c r="E62" s="1"/>
      <c r="F62" s="5">
        <f t="shared" si="28"/>
        <v>3.0009311526490158E-5</v>
      </c>
      <c r="G62" s="1"/>
      <c r="H62" s="1">
        <f>SUM(OSRRefH22_9x_0)</f>
        <v>10</v>
      </c>
      <c r="I62" s="1"/>
      <c r="J62" s="5">
        <f t="shared" si="29"/>
        <v>1.0521885521885521E-4</v>
      </c>
      <c r="K62" s="1"/>
      <c r="L62" s="1">
        <f t="shared" si="30"/>
        <v>-4.79</v>
      </c>
      <c r="M62" s="1"/>
      <c r="N62" s="5">
        <f t="shared" si="31"/>
        <v>-0.47899999999999998</v>
      </c>
      <c r="O62" s="14"/>
      <c r="P62" s="1">
        <f>SUM(OSRRefP22_9x_0)</f>
        <v>31.27</v>
      </c>
      <c r="Q62" s="1"/>
      <c r="R62" s="5">
        <f t="shared" si="32"/>
        <v>3.4825199826428617E-5</v>
      </c>
      <c r="S62" s="1"/>
      <c r="T62" s="1">
        <f>SUM(OSRRefT22_9x_0)</f>
        <v>60</v>
      </c>
      <c r="U62" s="1"/>
      <c r="V62" s="5">
        <f t="shared" si="33"/>
        <v>1.240079365079365E-4</v>
      </c>
      <c r="W62" s="1"/>
      <c r="X62" s="1">
        <f t="shared" si="34"/>
        <v>-28.73</v>
      </c>
      <c r="Y62" s="1"/>
      <c r="Z62" s="5">
        <f t="shared" si="35"/>
        <v>-0.47883333333333333</v>
      </c>
    </row>
    <row r="63" spans="1:26" s="24" customFormat="1" hidden="1" outlineLevel="2" x14ac:dyDescent="0.3">
      <c r="A63" s="29"/>
      <c r="B63" s="11" t="str">
        <f>CONCATENATE("          ", "6314", " - ", "LIABILITY INSURANCE")</f>
        <v xml:space="preserve">          6314 - LIABILITY INSURANCE</v>
      </c>
      <c r="C63" s="11"/>
      <c r="D63" s="6">
        <v>5.21</v>
      </c>
      <c r="E63" s="2"/>
      <c r="F63" s="7">
        <f t="shared" si="28"/>
        <v>3.0009311526490158E-5</v>
      </c>
      <c r="G63" s="2"/>
      <c r="H63" s="6">
        <v>10</v>
      </c>
      <c r="I63" s="2"/>
      <c r="J63" s="7">
        <f t="shared" si="29"/>
        <v>1.0521885521885521E-4</v>
      </c>
      <c r="K63" s="2"/>
      <c r="L63" s="6">
        <f t="shared" si="30"/>
        <v>-4.79</v>
      </c>
      <c r="M63" s="2"/>
      <c r="N63" s="7">
        <f t="shared" si="31"/>
        <v>-0.47899999999999998</v>
      </c>
      <c r="O63" s="11"/>
      <c r="P63" s="6">
        <v>31.27</v>
      </c>
      <c r="Q63" s="2"/>
      <c r="R63" s="7">
        <f t="shared" si="32"/>
        <v>3.4825199826428617E-5</v>
      </c>
      <c r="S63" s="2"/>
      <c r="T63" s="6">
        <v>60</v>
      </c>
      <c r="U63" s="2"/>
      <c r="V63" s="7">
        <f t="shared" si="33"/>
        <v>1.240079365079365E-4</v>
      </c>
      <c r="W63" s="2"/>
      <c r="X63" s="6">
        <f t="shared" si="34"/>
        <v>-28.73</v>
      </c>
      <c r="Y63" s="2"/>
      <c r="Z63" s="7">
        <f t="shared" si="35"/>
        <v>-0.47883333333333333</v>
      </c>
    </row>
    <row r="64" spans="1:26" s="28" customFormat="1" outlineLevel="1" collapsed="1" x14ac:dyDescent="0.3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13805.57</v>
      </c>
      <c r="E64" s="1"/>
      <c r="F64" s="5">
        <f t="shared" si="28"/>
        <v>7.9519318796692273E-2</v>
      </c>
      <c r="G64" s="1"/>
      <c r="H64" s="1">
        <f>SUM(OSRRefH22_10x_0)</f>
        <v>7603</v>
      </c>
      <c r="I64" s="1"/>
      <c r="J64" s="5">
        <f t="shared" si="29"/>
        <v>7.9997895622895623E-2</v>
      </c>
      <c r="K64" s="1"/>
      <c r="L64" s="1">
        <f t="shared" si="30"/>
        <v>6202.57</v>
      </c>
      <c r="M64" s="1"/>
      <c r="N64" s="5">
        <f t="shared" si="31"/>
        <v>0.81580560305142702</v>
      </c>
      <c r="O64" s="14"/>
      <c r="P64" s="1">
        <f>SUM(OSRRefP22_10x_0)</f>
        <v>67728.479999999996</v>
      </c>
      <c r="Q64" s="1"/>
      <c r="R64" s="5">
        <f t="shared" si="32"/>
        <v>7.5428776780948961E-2</v>
      </c>
      <c r="S64" s="1"/>
      <c r="T64" s="1">
        <f>SUM(OSRRefT22_10x_0)</f>
        <v>38707</v>
      </c>
      <c r="U64" s="1"/>
      <c r="V64" s="5">
        <f t="shared" si="33"/>
        <v>7.9999586640211645E-2</v>
      </c>
      <c r="W64" s="1"/>
      <c r="X64" s="1">
        <f t="shared" si="34"/>
        <v>29021.479999999996</v>
      </c>
      <c r="Y64" s="1"/>
      <c r="Z64" s="5">
        <f t="shared" si="35"/>
        <v>0.74977342599529795</v>
      </c>
    </row>
    <row r="65" spans="1:26" s="24" customFormat="1" hidden="1" outlineLevel="2" x14ac:dyDescent="0.3">
      <c r="A65" s="29"/>
      <c r="B65" s="11" t="str">
        <f>CONCATENATE("          ", "6387", " - ", "COMMISSION DUE HOUSING")</f>
        <v xml:space="preserve">          6387 - COMMISSION DUE HOUSING</v>
      </c>
      <c r="C65" s="11"/>
      <c r="D65" s="6">
        <v>13805.57</v>
      </c>
      <c r="E65" s="2"/>
      <c r="F65" s="7">
        <f t="shared" si="28"/>
        <v>7.9519318796692273E-2</v>
      </c>
      <c r="G65" s="2"/>
      <c r="H65" s="6">
        <v>7603</v>
      </c>
      <c r="I65" s="2"/>
      <c r="J65" s="7">
        <f t="shared" si="29"/>
        <v>7.9997895622895623E-2</v>
      </c>
      <c r="K65" s="2"/>
      <c r="L65" s="6">
        <f t="shared" si="30"/>
        <v>6202.57</v>
      </c>
      <c r="M65" s="2"/>
      <c r="N65" s="7">
        <f t="shared" si="31"/>
        <v>0.81580560305142702</v>
      </c>
      <c r="O65" s="11"/>
      <c r="P65" s="6">
        <v>67728.479999999996</v>
      </c>
      <c r="Q65" s="2"/>
      <c r="R65" s="7">
        <f t="shared" si="32"/>
        <v>7.5428776780948961E-2</v>
      </c>
      <c r="S65" s="2"/>
      <c r="T65" s="6">
        <v>38707</v>
      </c>
      <c r="U65" s="2"/>
      <c r="V65" s="7">
        <f t="shared" si="33"/>
        <v>7.9999586640211645E-2</v>
      </c>
      <c r="W65" s="2"/>
      <c r="X65" s="6">
        <f t="shared" si="34"/>
        <v>29021.479999999996</v>
      </c>
      <c r="Y65" s="2"/>
      <c r="Z65" s="7">
        <f t="shared" si="35"/>
        <v>0.74977342599529795</v>
      </c>
    </row>
    <row r="66" spans="1:26" s="28" customFormat="1" outlineLevel="1" collapsed="1" x14ac:dyDescent="0.3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74.900000000000006</v>
      </c>
      <c r="E66" s="1"/>
      <c r="F66" s="5">
        <f t="shared" si="28"/>
        <v>4.3141985284723857E-4</v>
      </c>
      <c r="G66" s="1"/>
      <c r="H66" s="1">
        <f>SUM(OSRRefH22_11x_0)</f>
        <v>100</v>
      </c>
      <c r="I66" s="1"/>
      <c r="J66" s="5">
        <f t="shared" si="29"/>
        <v>1.0521885521885522E-3</v>
      </c>
      <c r="K66" s="1"/>
      <c r="L66" s="1">
        <f t="shared" si="30"/>
        <v>-25.099999999999994</v>
      </c>
      <c r="M66" s="1"/>
      <c r="N66" s="5">
        <f t="shared" si="31"/>
        <v>-0.25099999999999995</v>
      </c>
      <c r="O66" s="14"/>
      <c r="P66" s="1">
        <f>SUM(OSRRefP22_11x_0)</f>
        <v>836.76</v>
      </c>
      <c r="Q66" s="1"/>
      <c r="R66" s="5">
        <f t="shared" si="32"/>
        <v>9.3189428227574071E-4</v>
      </c>
      <c r="S66" s="1"/>
      <c r="T66" s="1">
        <f>SUM(OSRRefT22_11x_0)</f>
        <v>2100</v>
      </c>
      <c r="U66" s="1"/>
      <c r="V66" s="5">
        <f t="shared" si="33"/>
        <v>4.340277777777778E-3</v>
      </c>
      <c r="W66" s="1"/>
      <c r="X66" s="1">
        <f t="shared" si="34"/>
        <v>-1263.24</v>
      </c>
      <c r="Y66" s="1"/>
      <c r="Z66" s="5">
        <f t="shared" si="35"/>
        <v>-0.60154285714285716</v>
      </c>
    </row>
    <row r="67" spans="1:26" s="24" customFormat="1" hidden="1" outlineLevel="2" x14ac:dyDescent="0.3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/>
      <c r="Q67" s="2"/>
      <c r="R67" s="7">
        <f t="shared" si="32"/>
        <v>0</v>
      </c>
      <c r="S67" s="2"/>
      <c r="T67" s="6">
        <v>0</v>
      </c>
      <c r="U67" s="2"/>
      <c r="V67" s="7">
        <f t="shared" si="33"/>
        <v>0</v>
      </c>
      <c r="W67" s="2"/>
      <c r="X67" s="6">
        <f t="shared" si="34"/>
        <v>0</v>
      </c>
      <c r="Y67" s="2"/>
      <c r="Z67" s="7">
        <f t="shared" si="35"/>
        <v>0</v>
      </c>
    </row>
    <row r="68" spans="1:26" s="24" customFormat="1" hidden="1" outlineLevel="2" x14ac:dyDescent="0.3">
      <c r="A68" s="29"/>
      <c r="B68" s="11" t="str">
        <f>CONCATENATE("          ", "6373", " - ", "MAINTENANCE CONTRACTS")</f>
        <v xml:space="preserve">          6373 - MAINTENANCE CONTRACTS</v>
      </c>
      <c r="C68" s="11"/>
      <c r="D68" s="6">
        <v>74.900000000000006</v>
      </c>
      <c r="E68" s="2"/>
      <c r="F68" s="7">
        <f t="shared" si="28"/>
        <v>4.3141985284723857E-4</v>
      </c>
      <c r="G68" s="2"/>
      <c r="H68" s="6"/>
      <c r="I68" s="2"/>
      <c r="J68" s="7">
        <f t="shared" si="29"/>
        <v>0</v>
      </c>
      <c r="K68" s="2"/>
      <c r="L68" s="6">
        <f t="shared" si="30"/>
        <v>74.900000000000006</v>
      </c>
      <c r="M68" s="2"/>
      <c r="N68" s="7">
        <f t="shared" si="31"/>
        <v>0</v>
      </c>
      <c r="O68" s="11"/>
      <c r="P68" s="6">
        <v>146.76</v>
      </c>
      <c r="Q68" s="2"/>
      <c r="R68" s="7">
        <f t="shared" si="32"/>
        <v>1.6344567721543536E-4</v>
      </c>
      <c r="S68" s="2"/>
      <c r="T68" s="6">
        <v>1500</v>
      </c>
      <c r="U68" s="2"/>
      <c r="V68" s="7">
        <f t="shared" si="33"/>
        <v>3.1001984126984125E-3</v>
      </c>
      <c r="W68" s="2"/>
      <c r="X68" s="6">
        <f t="shared" si="34"/>
        <v>-1353.24</v>
      </c>
      <c r="Y68" s="2"/>
      <c r="Z68" s="7">
        <f t="shared" si="35"/>
        <v>-0.90215999999999996</v>
      </c>
    </row>
    <row r="69" spans="1:26" s="24" customFormat="1" hidden="1" outlineLevel="2" x14ac:dyDescent="0.3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8"/>
        <v>0</v>
      </c>
      <c r="G69" s="2"/>
      <c r="H69" s="6">
        <v>100</v>
      </c>
      <c r="I69" s="2"/>
      <c r="J69" s="7">
        <f t="shared" si="29"/>
        <v>1.0521885521885522E-3</v>
      </c>
      <c r="K69" s="2"/>
      <c r="L69" s="6">
        <f t="shared" si="30"/>
        <v>-100</v>
      </c>
      <c r="M69" s="2"/>
      <c r="N69" s="7">
        <f t="shared" si="31"/>
        <v>-1</v>
      </c>
      <c r="O69" s="11"/>
      <c r="P69" s="6">
        <v>690</v>
      </c>
      <c r="Q69" s="2"/>
      <c r="R69" s="7">
        <f t="shared" si="32"/>
        <v>7.6844860506030538E-4</v>
      </c>
      <c r="S69" s="2"/>
      <c r="T69" s="6">
        <v>600</v>
      </c>
      <c r="U69" s="2"/>
      <c r="V69" s="7">
        <f t="shared" si="33"/>
        <v>1.240079365079365E-3</v>
      </c>
      <c r="W69" s="2"/>
      <c r="X69" s="6">
        <f t="shared" si="34"/>
        <v>90</v>
      </c>
      <c r="Y69" s="2"/>
      <c r="Z69" s="7">
        <f t="shared" si="35"/>
        <v>0.15</v>
      </c>
    </row>
    <row r="70" spans="1:26" s="28" customFormat="1" outlineLevel="1" collapsed="1" x14ac:dyDescent="0.3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4776.87</v>
      </c>
      <c r="E70" s="1"/>
      <c r="F70" s="5">
        <f t="shared" ref="F70:F74" si="36">IF(D$12=0,0,D70/D$12)</f>
        <v>2.7514506708549911E-2</v>
      </c>
      <c r="G70" s="1"/>
      <c r="H70" s="1">
        <f>SUM(OSRRefH22_12x_0)</f>
        <v>6972</v>
      </c>
      <c r="I70" s="1"/>
      <c r="J70" s="5">
        <f t="shared" ref="J70:J74" si="37">IF(H$12=0,0,H70/H$12)</f>
        <v>7.3358585858585859E-2</v>
      </c>
      <c r="K70" s="1"/>
      <c r="L70" s="1">
        <f t="shared" ref="L70:L74" si="38">+D70-H70</f>
        <v>-2195.13</v>
      </c>
      <c r="M70" s="1"/>
      <c r="N70" s="5">
        <f t="shared" ref="N70:N74" si="39">IF(H70=0,0,L70/H70)</f>
        <v>-0.31484939759036146</v>
      </c>
      <c r="O70" s="14"/>
      <c r="P70" s="1">
        <f>SUM(OSRRefP22_12x_0)</f>
        <v>27040.97</v>
      </c>
      <c r="Q70" s="1"/>
      <c r="R70" s="5">
        <f t="shared" ref="R70:R74" si="40">IF(P$12=0,0,P70/P$12)</f>
        <v>3.0115356052141398E-2</v>
      </c>
      <c r="S70" s="1"/>
      <c r="T70" s="1">
        <f>SUM(OSRRefT22_12x_0)</f>
        <v>40232</v>
      </c>
      <c r="U70" s="1"/>
      <c r="V70" s="5">
        <f t="shared" ref="V70:V74" si="41">IF(T$12=0,0,T70/T$12)</f>
        <v>8.3151455026455032E-2</v>
      </c>
      <c r="W70" s="1"/>
      <c r="X70" s="1">
        <f t="shared" ref="X70:X74" si="42">+P70-T70</f>
        <v>-13191.029999999999</v>
      </c>
      <c r="Y70" s="1"/>
      <c r="Z70" s="5">
        <f t="shared" ref="Z70:Z74" si="43">IF(T70=0,0,X70/T70)</f>
        <v>-0.3278740803340624</v>
      </c>
    </row>
    <row r="71" spans="1:26" s="24" customFormat="1" hidden="1" outlineLevel="2" x14ac:dyDescent="0.3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6"/>
      <c r="E71" s="2"/>
      <c r="F71" s="7">
        <f t="shared" si="36"/>
        <v>0</v>
      </c>
      <c r="G71" s="2"/>
      <c r="H71" s="6">
        <v>670</v>
      </c>
      <c r="I71" s="2"/>
      <c r="J71" s="7">
        <f t="shared" si="37"/>
        <v>7.0496632996632997E-3</v>
      </c>
      <c r="K71" s="2"/>
      <c r="L71" s="6">
        <f t="shared" si="38"/>
        <v>-670</v>
      </c>
      <c r="M71" s="2"/>
      <c r="N71" s="7">
        <f t="shared" si="39"/>
        <v>-1</v>
      </c>
      <c r="O71" s="11"/>
      <c r="P71" s="6">
        <v>3688.65</v>
      </c>
      <c r="Q71" s="2"/>
      <c r="R71" s="7">
        <f t="shared" si="40"/>
        <v>4.1080260102256457E-3</v>
      </c>
      <c r="S71" s="2"/>
      <c r="T71" s="6">
        <v>4020</v>
      </c>
      <c r="U71" s="2"/>
      <c r="V71" s="7">
        <f t="shared" si="41"/>
        <v>8.308531746031746E-3</v>
      </c>
      <c r="W71" s="2"/>
      <c r="X71" s="6">
        <f t="shared" si="42"/>
        <v>-331.34999999999991</v>
      </c>
      <c r="Y71" s="2"/>
      <c r="Z71" s="7">
        <f t="shared" si="43"/>
        <v>-8.2425373134328336E-2</v>
      </c>
    </row>
    <row r="72" spans="1:26" s="24" customFormat="1" hidden="1" outlineLevel="2" x14ac:dyDescent="0.3">
      <c r="A72" s="29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>
        <v>50</v>
      </c>
      <c r="I72" s="2"/>
      <c r="J72" s="7">
        <f t="shared" si="37"/>
        <v>5.2609427609427608E-4</v>
      </c>
      <c r="K72" s="2"/>
      <c r="L72" s="6">
        <f t="shared" si="38"/>
        <v>-50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300</v>
      </c>
      <c r="U72" s="2"/>
      <c r="V72" s="7">
        <f t="shared" si="41"/>
        <v>6.2003968253968251E-4</v>
      </c>
      <c r="W72" s="2"/>
      <c r="X72" s="6">
        <f t="shared" si="42"/>
        <v>-300</v>
      </c>
      <c r="Y72" s="2"/>
      <c r="Z72" s="7">
        <f t="shared" si="43"/>
        <v>-1</v>
      </c>
    </row>
    <row r="73" spans="1:26" s="24" customFormat="1" hidden="1" outlineLevel="2" x14ac:dyDescent="0.3">
      <c r="A73" s="29"/>
      <c r="B73" s="11" t="str">
        <f>CONCATENATE("          ", "6285", " - ", "JANITORIAL SERVICES")</f>
        <v xml:space="preserve">          6285 - JANITORIAL SERVICES</v>
      </c>
      <c r="C73" s="11"/>
      <c r="D73" s="6">
        <v>4151.8599999999997</v>
      </c>
      <c r="E73" s="2"/>
      <c r="F73" s="7">
        <f t="shared" si="36"/>
        <v>2.3914483714850943E-2</v>
      </c>
      <c r="G73" s="2"/>
      <c r="H73" s="6">
        <v>4652</v>
      </c>
      <c r="I73" s="2"/>
      <c r="J73" s="7">
        <f t="shared" si="37"/>
        <v>4.8947811447811448E-2</v>
      </c>
      <c r="K73" s="2"/>
      <c r="L73" s="6">
        <f t="shared" si="38"/>
        <v>-500.14000000000033</v>
      </c>
      <c r="M73" s="2"/>
      <c r="N73" s="7">
        <f t="shared" si="39"/>
        <v>-0.10751074806534831</v>
      </c>
      <c r="O73" s="11"/>
      <c r="P73" s="6">
        <v>16548.48</v>
      </c>
      <c r="Q73" s="2"/>
      <c r="R73" s="7">
        <f t="shared" si="40"/>
        <v>1.8429936770823711E-2</v>
      </c>
      <c r="S73" s="2"/>
      <c r="T73" s="6">
        <v>27912</v>
      </c>
      <c r="U73" s="2"/>
      <c r="V73" s="7">
        <f t="shared" si="41"/>
        <v>5.7688492063492067E-2</v>
      </c>
      <c r="W73" s="2"/>
      <c r="X73" s="6">
        <f t="shared" si="42"/>
        <v>-11363.52</v>
      </c>
      <c r="Y73" s="2"/>
      <c r="Z73" s="7">
        <f t="shared" si="43"/>
        <v>-0.40711951848667244</v>
      </c>
    </row>
    <row r="74" spans="1:26" s="24" customFormat="1" hidden="1" outlineLevel="2" x14ac:dyDescent="0.3">
      <c r="A74" s="29"/>
      <c r="B74" s="11" t="str">
        <f>CONCATENATE("          ", "6286", " - ", "LAUNDRY EXPENSE")</f>
        <v xml:space="preserve">          6286 - LAUNDRY EXPENSE</v>
      </c>
      <c r="C74" s="11"/>
      <c r="D74" s="6">
        <v>625.01</v>
      </c>
      <c r="E74" s="2"/>
      <c r="F74" s="7">
        <f t="shared" si="36"/>
        <v>3.600022993698966E-3</v>
      </c>
      <c r="G74" s="2"/>
      <c r="H74" s="6">
        <v>1600</v>
      </c>
      <c r="I74" s="2"/>
      <c r="J74" s="7">
        <f t="shared" si="37"/>
        <v>1.6835016835016835E-2</v>
      </c>
      <c r="K74" s="2"/>
      <c r="L74" s="6">
        <f t="shared" si="38"/>
        <v>-974.99</v>
      </c>
      <c r="M74" s="2"/>
      <c r="N74" s="7">
        <f t="shared" si="39"/>
        <v>-0.60936875000000001</v>
      </c>
      <c r="O74" s="11"/>
      <c r="P74" s="6">
        <v>6803.84</v>
      </c>
      <c r="Q74" s="2"/>
      <c r="R74" s="7">
        <f t="shared" si="40"/>
        <v>7.5773932710920403E-3</v>
      </c>
      <c r="S74" s="2"/>
      <c r="T74" s="6">
        <v>8000</v>
      </c>
      <c r="U74" s="2"/>
      <c r="V74" s="7">
        <f t="shared" si="41"/>
        <v>1.6534391534391533E-2</v>
      </c>
      <c r="W74" s="2"/>
      <c r="X74" s="6">
        <f t="shared" si="42"/>
        <v>-1196.1599999999999</v>
      </c>
      <c r="Y74" s="2"/>
      <c r="Z74" s="7">
        <f t="shared" si="43"/>
        <v>-0.14951999999999999</v>
      </c>
    </row>
    <row r="75" spans="1:26" s="28" customFormat="1" outlineLevel="1" collapsed="1" x14ac:dyDescent="0.3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4479.63</v>
      </c>
      <c r="E75" s="1"/>
      <c r="F75" s="5">
        <f t="shared" ref="F75:F82" si="44">IF(D$12=0,0,D75/D$12)</f>
        <v>2.5802420766489656E-2</v>
      </c>
      <c r="G75" s="1"/>
      <c r="H75" s="1">
        <f>SUM(OSRRefH22_13x_0)</f>
        <v>4846</v>
      </c>
      <c r="I75" s="1"/>
      <c r="J75" s="5">
        <f t="shared" ref="J75:J82" si="45">IF(H$12=0,0,H75/H$12)</f>
        <v>5.0989057239057237E-2</v>
      </c>
      <c r="K75" s="1"/>
      <c r="L75" s="1">
        <f t="shared" ref="L75:L82" si="46">+D75-H75</f>
        <v>-366.36999999999989</v>
      </c>
      <c r="M75" s="1"/>
      <c r="N75" s="5">
        <f t="shared" ref="N75:N82" si="47">IF(H75=0,0,L75/H75)</f>
        <v>-7.5602558811390816E-2</v>
      </c>
      <c r="O75" s="14"/>
      <c r="P75" s="1">
        <f>SUM(OSRRefP22_13x_0)</f>
        <v>60245.30999999999</v>
      </c>
      <c r="Q75" s="1"/>
      <c r="R75" s="5">
        <f t="shared" ref="R75:R82" si="48">IF(P$12=0,0,P75/P$12)</f>
        <v>6.7094818015834279E-2</v>
      </c>
      <c r="S75" s="1"/>
      <c r="T75" s="1">
        <f>SUM(OSRRefT22_13x_0)</f>
        <v>36076</v>
      </c>
      <c r="U75" s="1"/>
      <c r="V75" s="5">
        <f t="shared" ref="V75:V82" si="49">IF(T$12=0,0,T75/T$12)</f>
        <v>7.4561838624338628E-2</v>
      </c>
      <c r="W75" s="1"/>
      <c r="X75" s="1">
        <f t="shared" ref="X75:X82" si="50">+P75-T75</f>
        <v>24169.30999999999</v>
      </c>
      <c r="Y75" s="1"/>
      <c r="Z75" s="5">
        <f t="shared" ref="Z75:Z82" si="51">IF(T75=0,0,X75/T75)</f>
        <v>0.66995537199246014</v>
      </c>
    </row>
    <row r="76" spans="1:26" s="24" customFormat="1" hidden="1" outlineLevel="2" x14ac:dyDescent="0.3">
      <c r="A76" s="29"/>
      <c r="B76" s="11" t="str">
        <f>CONCATENATE("          ", "6237", " - ", "JANITORIAL SUPPLIES")</f>
        <v xml:space="preserve">          6237 - JANITORIAL SUPPLIES</v>
      </c>
      <c r="C76" s="11"/>
      <c r="D76" s="6">
        <v>1617.46</v>
      </c>
      <c r="E76" s="2"/>
      <c r="F76" s="7">
        <f t="shared" si="44"/>
        <v>9.3164800425406466E-3</v>
      </c>
      <c r="G76" s="2"/>
      <c r="H76" s="6">
        <v>2000</v>
      </c>
      <c r="I76" s="2"/>
      <c r="J76" s="7">
        <f t="shared" si="45"/>
        <v>2.1043771043771045E-2</v>
      </c>
      <c r="K76" s="2"/>
      <c r="L76" s="6">
        <f t="shared" si="46"/>
        <v>-382.53999999999996</v>
      </c>
      <c r="M76" s="2"/>
      <c r="N76" s="7">
        <f t="shared" si="47"/>
        <v>-0.19127</v>
      </c>
      <c r="O76" s="11"/>
      <c r="P76" s="6">
        <v>8822.8799999999992</v>
      </c>
      <c r="Q76" s="2"/>
      <c r="R76" s="7">
        <f t="shared" si="48"/>
        <v>9.8259852588615457E-3</v>
      </c>
      <c r="S76" s="2"/>
      <c r="T76" s="6">
        <v>15000</v>
      </c>
      <c r="U76" s="2"/>
      <c r="V76" s="7">
        <f t="shared" si="49"/>
        <v>3.1001984126984128E-2</v>
      </c>
      <c r="W76" s="2"/>
      <c r="X76" s="6">
        <f t="shared" si="50"/>
        <v>-6177.1200000000008</v>
      </c>
      <c r="Y76" s="2"/>
      <c r="Z76" s="7">
        <f t="shared" si="51"/>
        <v>-0.41180800000000006</v>
      </c>
    </row>
    <row r="77" spans="1:26" s="24" customFormat="1" hidden="1" outlineLevel="2" x14ac:dyDescent="0.3">
      <c r="A77" s="29"/>
      <c r="B77" s="11" t="str">
        <f>CONCATENATE("          ", "6239", " - ", "KITCHEN SUPPLIES")</f>
        <v xml:space="preserve">          6239 - KITCHEN SUPPLIES</v>
      </c>
      <c r="C77" s="11"/>
      <c r="D77" s="6">
        <v>22.84</v>
      </c>
      <c r="E77" s="2"/>
      <c r="F77" s="7">
        <f t="shared" si="44"/>
        <v>1.3155713536756915E-4</v>
      </c>
      <c r="G77" s="2"/>
      <c r="H77" s="6">
        <v>400</v>
      </c>
      <c r="I77" s="2"/>
      <c r="J77" s="7">
        <f t="shared" si="45"/>
        <v>4.2087542087542087E-3</v>
      </c>
      <c r="K77" s="2"/>
      <c r="L77" s="6">
        <f t="shared" si="46"/>
        <v>-377.16</v>
      </c>
      <c r="M77" s="2"/>
      <c r="N77" s="7">
        <f t="shared" si="47"/>
        <v>-0.94290000000000007</v>
      </c>
      <c r="O77" s="11"/>
      <c r="P77" s="6">
        <v>9096.75</v>
      </c>
      <c r="Q77" s="2"/>
      <c r="R77" s="7">
        <f t="shared" si="48"/>
        <v>1.0130992533452655E-2</v>
      </c>
      <c r="S77" s="2"/>
      <c r="T77" s="6">
        <v>8400</v>
      </c>
      <c r="U77" s="2"/>
      <c r="V77" s="7">
        <f t="shared" si="49"/>
        <v>1.7361111111111112E-2</v>
      </c>
      <c r="W77" s="2"/>
      <c r="X77" s="6">
        <f t="shared" si="50"/>
        <v>696.75</v>
      </c>
      <c r="Y77" s="2"/>
      <c r="Z77" s="7">
        <f t="shared" si="51"/>
        <v>8.2946428571428574E-2</v>
      </c>
    </row>
    <row r="78" spans="1:26" s="24" customFormat="1" hidden="1" outlineLevel="2" x14ac:dyDescent="0.3">
      <c r="A78" s="29"/>
      <c r="B78" s="11" t="str">
        <f>CONCATENATE("          ", "6241", " - ", "OFFICE EXPENSE")</f>
        <v xml:space="preserve">          6241 - OFFICE EXPENSE</v>
      </c>
      <c r="C78" s="11"/>
      <c r="D78" s="6">
        <v>84.89</v>
      </c>
      <c r="E78" s="2"/>
      <c r="F78" s="7">
        <f t="shared" si="44"/>
        <v>4.8896169970897305E-4</v>
      </c>
      <c r="G78" s="2"/>
      <c r="H78" s="6">
        <v>125</v>
      </c>
      <c r="I78" s="2"/>
      <c r="J78" s="7">
        <f t="shared" si="45"/>
        <v>1.3152356902356903E-3</v>
      </c>
      <c r="K78" s="2"/>
      <c r="L78" s="6">
        <f t="shared" si="46"/>
        <v>-40.11</v>
      </c>
      <c r="M78" s="2"/>
      <c r="N78" s="7">
        <f t="shared" si="47"/>
        <v>-0.32088</v>
      </c>
      <c r="O78" s="11"/>
      <c r="P78" s="6">
        <v>4774.12</v>
      </c>
      <c r="Q78" s="2"/>
      <c r="R78" s="7">
        <f t="shared" si="48"/>
        <v>5.3169070353485575E-3</v>
      </c>
      <c r="S78" s="2"/>
      <c r="T78" s="6">
        <v>750</v>
      </c>
      <c r="U78" s="2"/>
      <c r="V78" s="7">
        <f t="shared" si="49"/>
        <v>1.5500992063492063E-3</v>
      </c>
      <c r="W78" s="2"/>
      <c r="X78" s="6">
        <f t="shared" si="50"/>
        <v>4024.12</v>
      </c>
      <c r="Y78" s="2"/>
      <c r="Z78" s="7">
        <f t="shared" si="51"/>
        <v>5.3654933333333332</v>
      </c>
    </row>
    <row r="79" spans="1:26" s="24" customFormat="1" hidden="1" outlineLevel="2" x14ac:dyDescent="0.3">
      <c r="A79" s="29"/>
      <c r="B79" s="11" t="str">
        <f>CONCATENATE("          ", "6243", " - ", "PAPER SUPPLIES")</f>
        <v xml:space="preserve">          6243 - PAPER SUPPLIES</v>
      </c>
      <c r="C79" s="11"/>
      <c r="D79" s="6">
        <v>2309.7600000000002</v>
      </c>
      <c r="E79" s="2"/>
      <c r="F79" s="7">
        <f t="shared" si="44"/>
        <v>1.3304089710446432E-2</v>
      </c>
      <c r="G79" s="2"/>
      <c r="H79" s="6">
        <v>2000</v>
      </c>
      <c r="I79" s="2"/>
      <c r="J79" s="7">
        <f t="shared" si="45"/>
        <v>2.1043771043771045E-2</v>
      </c>
      <c r="K79" s="2"/>
      <c r="L79" s="6">
        <f t="shared" si="46"/>
        <v>309.76000000000022</v>
      </c>
      <c r="M79" s="2"/>
      <c r="N79" s="7">
        <f t="shared" si="47"/>
        <v>0.1548800000000001</v>
      </c>
      <c r="O79" s="11"/>
      <c r="P79" s="6">
        <v>35028.519999999997</v>
      </c>
      <c r="Q79" s="2"/>
      <c r="R79" s="7">
        <f t="shared" si="48"/>
        <v>3.9011039610618845E-2</v>
      </c>
      <c r="S79" s="2"/>
      <c r="T79" s="6">
        <v>10000</v>
      </c>
      <c r="U79" s="2"/>
      <c r="V79" s="7">
        <f t="shared" si="49"/>
        <v>2.0667989417989419E-2</v>
      </c>
      <c r="W79" s="2"/>
      <c r="X79" s="6">
        <f t="shared" si="50"/>
        <v>25028.519999999997</v>
      </c>
      <c r="Y79" s="2"/>
      <c r="Z79" s="7">
        <f t="shared" si="51"/>
        <v>2.5028519999999999</v>
      </c>
    </row>
    <row r="80" spans="1:26" s="24" customFormat="1" hidden="1" outlineLevel="2" x14ac:dyDescent="0.3">
      <c r="A80" s="29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44"/>
        <v>0</v>
      </c>
      <c r="G80" s="2"/>
      <c r="H80" s="6">
        <v>125</v>
      </c>
      <c r="I80" s="2"/>
      <c r="J80" s="7">
        <f t="shared" si="45"/>
        <v>1.3152356902356903E-3</v>
      </c>
      <c r="K80" s="2"/>
      <c r="L80" s="6">
        <f t="shared" si="46"/>
        <v>-125</v>
      </c>
      <c r="M80" s="2"/>
      <c r="N80" s="7">
        <f t="shared" si="47"/>
        <v>-1</v>
      </c>
      <c r="O80" s="11"/>
      <c r="P80" s="6"/>
      <c r="Q80" s="2"/>
      <c r="R80" s="7">
        <f t="shared" si="48"/>
        <v>0</v>
      </c>
      <c r="S80" s="2"/>
      <c r="T80" s="6">
        <v>750</v>
      </c>
      <c r="U80" s="2"/>
      <c r="V80" s="7">
        <f t="shared" si="49"/>
        <v>1.5500992063492063E-3</v>
      </c>
      <c r="W80" s="2"/>
      <c r="X80" s="6">
        <f t="shared" si="50"/>
        <v>-750</v>
      </c>
      <c r="Y80" s="2"/>
      <c r="Z80" s="7">
        <f t="shared" si="51"/>
        <v>-1</v>
      </c>
    </row>
    <row r="81" spans="1:26" s="24" customFormat="1" hidden="1" outlineLevel="2" x14ac:dyDescent="0.3">
      <c r="A81" s="29"/>
      <c r="B81" s="11" t="str">
        <f>CONCATENATE("          ", "6247", " - ", "STORE SUPPLIES")</f>
        <v xml:space="preserve">          6247 - STORE SUPPLIES</v>
      </c>
      <c r="C81" s="11"/>
      <c r="D81" s="6">
        <v>444.68</v>
      </c>
      <c r="E81" s="2"/>
      <c r="F81" s="7">
        <f t="shared" si="44"/>
        <v>2.5613321784260352E-3</v>
      </c>
      <c r="G81" s="2"/>
      <c r="H81" s="6"/>
      <c r="I81" s="2"/>
      <c r="J81" s="7">
        <f t="shared" si="45"/>
        <v>0</v>
      </c>
      <c r="K81" s="2"/>
      <c r="L81" s="6">
        <f t="shared" si="46"/>
        <v>444.68</v>
      </c>
      <c r="M81" s="2"/>
      <c r="N81" s="7">
        <f t="shared" si="47"/>
        <v>0</v>
      </c>
      <c r="O81" s="11"/>
      <c r="P81" s="6">
        <v>652.62</v>
      </c>
      <c r="Q81" s="2"/>
      <c r="R81" s="7">
        <f t="shared" si="48"/>
        <v>7.2681873715138622E-4</v>
      </c>
      <c r="S81" s="2"/>
      <c r="T81" s="6"/>
      <c r="U81" s="2"/>
      <c r="V81" s="7">
        <f t="shared" si="49"/>
        <v>0</v>
      </c>
      <c r="W81" s="2"/>
      <c r="X81" s="6">
        <f t="shared" si="50"/>
        <v>652.62</v>
      </c>
      <c r="Y81" s="2"/>
      <c r="Z81" s="7">
        <f t="shared" si="51"/>
        <v>0</v>
      </c>
    </row>
    <row r="82" spans="1:26" s="24" customFormat="1" hidden="1" outlineLevel="2" x14ac:dyDescent="0.3">
      <c r="A82" s="29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44"/>
        <v>0</v>
      </c>
      <c r="G82" s="2"/>
      <c r="H82" s="6">
        <v>196</v>
      </c>
      <c r="I82" s="2"/>
      <c r="J82" s="7">
        <f t="shared" si="45"/>
        <v>2.0622895622895623E-3</v>
      </c>
      <c r="K82" s="2"/>
      <c r="L82" s="6">
        <f t="shared" si="46"/>
        <v>-196</v>
      </c>
      <c r="M82" s="2"/>
      <c r="N82" s="7">
        <f t="shared" si="47"/>
        <v>-1</v>
      </c>
      <c r="O82" s="11"/>
      <c r="P82" s="6">
        <v>1870.42</v>
      </c>
      <c r="Q82" s="2"/>
      <c r="R82" s="7">
        <f t="shared" si="48"/>
        <v>2.0830748404012992E-3</v>
      </c>
      <c r="S82" s="2"/>
      <c r="T82" s="6">
        <v>1176</v>
      </c>
      <c r="U82" s="2"/>
      <c r="V82" s="7">
        <f t="shared" si="49"/>
        <v>2.4305555555555556E-3</v>
      </c>
      <c r="W82" s="2"/>
      <c r="X82" s="6">
        <f t="shared" si="50"/>
        <v>694.42000000000007</v>
      </c>
      <c r="Y82" s="2"/>
      <c r="Z82" s="7">
        <f t="shared" si="51"/>
        <v>0.59049319727891159</v>
      </c>
    </row>
    <row r="83" spans="1:26" s="28" customFormat="1" outlineLevel="1" collapsed="1" x14ac:dyDescent="0.3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36</v>
      </c>
      <c r="E83" s="1"/>
      <c r="F83" s="5">
        <f t="shared" ref="F83:F88" si="52">IF(D$12=0,0,D83/D$12)</f>
        <v>2.073580067089531E-4</v>
      </c>
      <c r="G83" s="1"/>
      <c r="H83" s="1">
        <f>SUM(OSRRefH22_14x_0)</f>
        <v>125</v>
      </c>
      <c r="I83" s="1"/>
      <c r="J83" s="5">
        <f t="shared" ref="J83:J88" si="53">IF(H$12=0,0,H83/H$12)</f>
        <v>1.3152356902356903E-3</v>
      </c>
      <c r="K83" s="1"/>
      <c r="L83" s="1">
        <f t="shared" ref="L83:L88" si="54">+D83-H83</f>
        <v>-89</v>
      </c>
      <c r="M83" s="1"/>
      <c r="N83" s="5">
        <f t="shared" ref="N83:N88" si="55">IF(H83=0,0,L83/H83)</f>
        <v>-0.71199999999999997</v>
      </c>
      <c r="O83" s="14"/>
      <c r="P83" s="1">
        <f>SUM(OSRRefP22_14x_0)</f>
        <v>806.85</v>
      </c>
      <c r="Q83" s="1"/>
      <c r="R83" s="5">
        <f t="shared" ref="R83:R88" si="56">IF(P$12=0,0,P83/P$12)</f>
        <v>8.9858370578682232E-4</v>
      </c>
      <c r="S83" s="1"/>
      <c r="T83" s="1">
        <f>SUM(OSRRefT22_14x_0)</f>
        <v>750</v>
      </c>
      <c r="U83" s="1"/>
      <c r="V83" s="5">
        <f t="shared" ref="V83:V88" si="57">IF(T$12=0,0,T83/T$12)</f>
        <v>1.5500992063492063E-3</v>
      </c>
      <c r="W83" s="1"/>
      <c r="X83" s="1">
        <f t="shared" ref="X83:X88" si="58">+P83-T83</f>
        <v>56.850000000000023</v>
      </c>
      <c r="Y83" s="1"/>
      <c r="Z83" s="5">
        <f t="shared" ref="Z83:Z88" si="59">IF(T83=0,0,X83/T83)</f>
        <v>7.5800000000000034E-2</v>
      </c>
    </row>
    <row r="84" spans="1:26" s="24" customFormat="1" hidden="1" outlineLevel="2" x14ac:dyDescent="0.3">
      <c r="A84" s="29"/>
      <c r="B84" s="11" t="str">
        <f>CONCATENATE("          ", "6309", " - ", "TELEPHONE")</f>
        <v xml:space="preserve">          6309 - TELEPHONE</v>
      </c>
      <c r="C84" s="11"/>
      <c r="D84" s="6">
        <v>36</v>
      </c>
      <c r="E84" s="2"/>
      <c r="F84" s="7">
        <f t="shared" si="52"/>
        <v>2.073580067089531E-4</v>
      </c>
      <c r="G84" s="2"/>
      <c r="H84" s="6">
        <v>125</v>
      </c>
      <c r="I84" s="2"/>
      <c r="J84" s="7">
        <f t="shared" si="53"/>
        <v>1.3152356902356903E-3</v>
      </c>
      <c r="K84" s="2"/>
      <c r="L84" s="6">
        <f t="shared" si="54"/>
        <v>-89</v>
      </c>
      <c r="M84" s="2"/>
      <c r="N84" s="7">
        <f t="shared" si="55"/>
        <v>-0.71199999999999997</v>
      </c>
      <c r="O84" s="11"/>
      <c r="P84" s="6">
        <v>806.85</v>
      </c>
      <c r="Q84" s="2"/>
      <c r="R84" s="7">
        <f t="shared" si="56"/>
        <v>8.9858370578682232E-4</v>
      </c>
      <c r="S84" s="2"/>
      <c r="T84" s="6">
        <v>750</v>
      </c>
      <c r="U84" s="2"/>
      <c r="V84" s="7">
        <f t="shared" si="57"/>
        <v>1.5500992063492063E-3</v>
      </c>
      <c r="W84" s="2"/>
      <c r="X84" s="6">
        <f t="shared" si="58"/>
        <v>56.850000000000023</v>
      </c>
      <c r="Y84" s="2"/>
      <c r="Z84" s="7">
        <f t="shared" si="59"/>
        <v>7.5800000000000034E-2</v>
      </c>
    </row>
    <row r="85" spans="1:26" s="28" customFormat="1" outlineLevel="1" collapsed="1" x14ac:dyDescent="0.3">
      <c r="A85" s="27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SUM(OSRRefD22_15x_0)</f>
        <v>0</v>
      </c>
      <c r="E85" s="1"/>
      <c r="F85" s="5">
        <f t="shared" si="52"/>
        <v>0</v>
      </c>
      <c r="G85" s="1"/>
      <c r="H85" s="1">
        <f>SUM(OSRRefH22_15x_0)</f>
        <v>165</v>
      </c>
      <c r="I85" s="1"/>
      <c r="J85" s="5">
        <f t="shared" si="53"/>
        <v>1.736111111111111E-3</v>
      </c>
      <c r="K85" s="1"/>
      <c r="L85" s="1">
        <f t="shared" si="54"/>
        <v>-165</v>
      </c>
      <c r="M85" s="1"/>
      <c r="N85" s="5">
        <f t="shared" si="55"/>
        <v>-1</v>
      </c>
      <c r="O85" s="14"/>
      <c r="P85" s="1">
        <f>SUM(OSRRefP22_15x_0)</f>
        <v>0</v>
      </c>
      <c r="Q85" s="1"/>
      <c r="R85" s="5">
        <f t="shared" si="56"/>
        <v>0</v>
      </c>
      <c r="S85" s="1"/>
      <c r="T85" s="1">
        <f>SUM(OSRRefT22_15x_0)</f>
        <v>990</v>
      </c>
      <c r="U85" s="1"/>
      <c r="V85" s="5">
        <f t="shared" si="57"/>
        <v>2.0461309523809525E-3</v>
      </c>
      <c r="W85" s="1"/>
      <c r="X85" s="1">
        <f t="shared" si="58"/>
        <v>-990</v>
      </c>
      <c r="Y85" s="1"/>
      <c r="Z85" s="5">
        <f t="shared" si="59"/>
        <v>-1</v>
      </c>
    </row>
    <row r="86" spans="1:26" s="24" customFormat="1" hidden="1" outlineLevel="2" x14ac:dyDescent="0.3">
      <c r="A86" s="29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52"/>
        <v>0</v>
      </c>
      <c r="G86" s="2"/>
      <c r="H86" s="6">
        <v>165</v>
      </c>
      <c r="I86" s="2"/>
      <c r="J86" s="7">
        <f t="shared" si="53"/>
        <v>1.736111111111111E-3</v>
      </c>
      <c r="K86" s="2"/>
      <c r="L86" s="6">
        <f t="shared" si="54"/>
        <v>-165</v>
      </c>
      <c r="M86" s="2"/>
      <c r="N86" s="7">
        <f t="shared" si="55"/>
        <v>-1</v>
      </c>
      <c r="O86" s="11"/>
      <c r="P86" s="6"/>
      <c r="Q86" s="2"/>
      <c r="R86" s="7">
        <f t="shared" si="56"/>
        <v>0</v>
      </c>
      <c r="S86" s="2"/>
      <c r="T86" s="6">
        <v>990</v>
      </c>
      <c r="U86" s="2"/>
      <c r="V86" s="7">
        <f t="shared" si="57"/>
        <v>2.0461309523809525E-3</v>
      </c>
      <c r="W86" s="2"/>
      <c r="X86" s="6">
        <f t="shared" si="58"/>
        <v>-990</v>
      </c>
      <c r="Y86" s="2"/>
      <c r="Z86" s="7">
        <f t="shared" si="59"/>
        <v>-1</v>
      </c>
    </row>
    <row r="87" spans="1:26" s="28" customFormat="1" outlineLevel="1" collapsed="1" x14ac:dyDescent="0.3">
      <c r="A87" s="27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SUM(OSRRefD22_16x_0)</f>
        <v>0</v>
      </c>
      <c r="E87" s="1"/>
      <c r="F87" s="5">
        <f t="shared" si="52"/>
        <v>0</v>
      </c>
      <c r="G87" s="1"/>
      <c r="H87" s="1">
        <f>SUM(OSRRefH22_16x_0)</f>
        <v>0</v>
      </c>
      <c r="I87" s="1"/>
      <c r="J87" s="5">
        <f t="shared" si="53"/>
        <v>0</v>
      </c>
      <c r="K87" s="1"/>
      <c r="L87" s="1">
        <f t="shared" si="54"/>
        <v>0</v>
      </c>
      <c r="M87" s="1"/>
      <c r="N87" s="5">
        <f t="shared" si="55"/>
        <v>0</v>
      </c>
      <c r="O87" s="14"/>
      <c r="P87" s="1">
        <f>SUM(OSRRefP22_16x_0)</f>
        <v>104.02</v>
      </c>
      <c r="Q87" s="1"/>
      <c r="R87" s="5">
        <f t="shared" si="56"/>
        <v>1.1584641144691732E-4</v>
      </c>
      <c r="S87" s="1"/>
      <c r="T87" s="1">
        <f>SUM(OSRRefT22_16x_0)</f>
        <v>0</v>
      </c>
      <c r="U87" s="1"/>
      <c r="V87" s="5">
        <f t="shared" si="57"/>
        <v>0</v>
      </c>
      <c r="W87" s="1"/>
      <c r="X87" s="1">
        <f t="shared" si="58"/>
        <v>104.02</v>
      </c>
      <c r="Y87" s="1"/>
      <c r="Z87" s="5">
        <f t="shared" si="59"/>
        <v>0</v>
      </c>
    </row>
    <row r="88" spans="1:26" s="24" customFormat="1" hidden="1" outlineLevel="2" x14ac:dyDescent="0.3">
      <c r="A88" s="29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52"/>
        <v>0</v>
      </c>
      <c r="G88" s="2"/>
      <c r="H88" s="6"/>
      <c r="I88" s="2"/>
      <c r="J88" s="7">
        <f t="shared" si="53"/>
        <v>0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>
        <v>104.02</v>
      </c>
      <c r="Q88" s="2"/>
      <c r="R88" s="7">
        <f t="shared" si="56"/>
        <v>1.1584641144691732E-4</v>
      </c>
      <c r="S88" s="2"/>
      <c r="T88" s="6"/>
      <c r="U88" s="2"/>
      <c r="V88" s="7">
        <f t="shared" si="57"/>
        <v>0</v>
      </c>
      <c r="W88" s="2"/>
      <c r="X88" s="6">
        <f t="shared" si="58"/>
        <v>104.02</v>
      </c>
      <c r="Y88" s="2"/>
      <c r="Z88" s="7">
        <f t="shared" si="59"/>
        <v>0</v>
      </c>
    </row>
    <row r="89" spans="1:26" s="55" customFormat="1" x14ac:dyDescent="0.3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3">
      <c r="A90" s="10"/>
      <c r="B90" s="25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10"/>
      <c r="B92" s="26" t="s">
        <v>277</v>
      </c>
      <c r="C92" s="26"/>
      <c r="D92" s="20">
        <f>+D23-D25+D90</f>
        <v>29309.410000000047</v>
      </c>
      <c r="E92" s="13"/>
      <c r="F92" s="22">
        <f>IF(D$12=0,0,D92/D$12)</f>
        <v>0.16882057876154075</v>
      </c>
      <c r="G92" s="13"/>
      <c r="H92" s="20">
        <f>+H23-H25+H90</f>
        <v>-43443.92699692311</v>
      </c>
      <c r="I92" s="13"/>
      <c r="J92" s="22">
        <f>IF(H$12=0,0,H92/H$12)</f>
        <v>-0.45711202648277682</v>
      </c>
      <c r="K92" s="16"/>
      <c r="L92" s="20">
        <f>+D92-H92</f>
        <v>72753.336996923157</v>
      </c>
      <c r="M92" s="16"/>
      <c r="N92" s="22">
        <f>IF(H92=0,0,L92/H92)</f>
        <v>-1.6746491863425668</v>
      </c>
      <c r="O92" s="25"/>
      <c r="P92" s="20">
        <f>+P23-P25+P90</f>
        <v>-5822.1800000000512</v>
      </c>
      <c r="Q92" s="13"/>
      <c r="R92" s="22">
        <f>IF(P$12=0,0,P92/P$12)</f>
        <v>-6.4841247817536921E-3</v>
      </c>
      <c r="S92" s="13"/>
      <c r="T92" s="20">
        <f>+T23-T25+T90</f>
        <v>-356164.08898</v>
      </c>
      <c r="U92" s="13"/>
      <c r="V92" s="22">
        <f>IF(T$12=0,0,T92/T$12)</f>
        <v>-0.73611956221064812</v>
      </c>
      <c r="W92" s="16"/>
      <c r="X92" s="20">
        <f>+P92-T92</f>
        <v>350341.90897999995</v>
      </c>
      <c r="Y92" s="16"/>
      <c r="Z92" s="22">
        <f>IF(T92=0,0,X92/T92)</f>
        <v>-0.983653096479564</v>
      </c>
    </row>
    <row r="93" spans="1:26" x14ac:dyDescent="0.3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">
      <c r="A94" s="52"/>
      <c r="B94" s="10" t="s">
        <v>128</v>
      </c>
      <c r="C94" s="10"/>
      <c r="D94" s="4">
        <v>21809.85</v>
      </c>
      <c r="E94" s="4"/>
      <c r="F94" s="12">
        <f>IF(D$12=0,0,D94/D$12)</f>
        <v>0.12562352840614613</v>
      </c>
      <c r="G94" s="4"/>
      <c r="H94" s="4">
        <v>14038</v>
      </c>
      <c r="I94" s="4"/>
      <c r="J94" s="12">
        <f>IF(H$12=0,0,H94/H$12)</f>
        <v>0.14770622895622895</v>
      </c>
      <c r="K94" s="4"/>
      <c r="L94" s="4">
        <f>+D94-H94</f>
        <v>7771.8499999999985</v>
      </c>
      <c r="M94" s="4"/>
      <c r="N94" s="12">
        <f>IF(H94=0,0,L94/H94)</f>
        <v>0.55362943439236345</v>
      </c>
      <c r="O94" s="10"/>
      <c r="P94" s="4">
        <v>108082.51</v>
      </c>
      <c r="Q94" s="4"/>
      <c r="R94" s="12">
        <f>IF(P$12=0,0,P94/P$12)</f>
        <v>0.12037080295784999</v>
      </c>
      <c r="S94" s="4"/>
      <c r="T94" s="4">
        <v>62643</v>
      </c>
      <c r="U94" s="4"/>
      <c r="V94" s="12">
        <f>IF(T$12=0,0,T94/T$12)</f>
        <v>0.12947048611111112</v>
      </c>
      <c r="W94" s="4"/>
      <c r="X94" s="4">
        <f>+P94-T94</f>
        <v>45439.509999999995</v>
      </c>
      <c r="Y94" s="4"/>
      <c r="Z94" s="12">
        <f>IF(T94=0,0,X94/T94)</f>
        <v>0.72537250770237682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126</v>
      </c>
      <c r="C96" s="26"/>
      <c r="D96" s="31">
        <f>+D92-D94</f>
        <v>7499.5600000000486</v>
      </c>
      <c r="E96" s="13"/>
      <c r="F96" s="30">
        <f>IF(D$12=0,0,D96/D$12)</f>
        <v>4.3197050355394624E-2</v>
      </c>
      <c r="G96" s="13"/>
      <c r="H96" s="31">
        <f>+H92-H94</f>
        <v>-57481.92699692311</v>
      </c>
      <c r="I96" s="13"/>
      <c r="J96" s="30">
        <f>IF(H$12=0,0,H96/H$12)</f>
        <v>-0.6048182554390058</v>
      </c>
      <c r="K96" s="16"/>
      <c r="L96" s="31">
        <f>D96-H96</f>
        <v>64981.486996923159</v>
      </c>
      <c r="M96" s="16"/>
      <c r="N96" s="30">
        <f>IF(H96=0,0,L96/H96)</f>
        <v>-1.1304681382793844</v>
      </c>
      <c r="O96" s="25"/>
      <c r="P96" s="31">
        <f>+P92-P94</f>
        <v>-113904.69000000005</v>
      </c>
      <c r="Q96" s="13"/>
      <c r="R96" s="30">
        <f>IF(P$12=0,0,P96/P$12)</f>
        <v>-0.12685492773960369</v>
      </c>
      <c r="S96" s="13"/>
      <c r="T96" s="31">
        <f>+T92-T94</f>
        <v>-418807.08898</v>
      </c>
      <c r="U96" s="13"/>
      <c r="V96" s="30">
        <f>IF(T$12=0,0,T96/T$12)</f>
        <v>-0.86559004832175923</v>
      </c>
      <c r="W96" s="16"/>
      <c r="X96" s="31">
        <f>P96-T96</f>
        <v>304902.39897999994</v>
      </c>
      <c r="Y96" s="16"/>
      <c r="Z96" s="30">
        <f>IF(T96=0,0,X96/T96)</f>
        <v>-0.72802587874667146</v>
      </c>
    </row>
    <row r="97" spans="1:26" ht="15" thickTop="1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294</v>
      </c>
      <c r="C99" s="26"/>
      <c r="D99" s="35">
        <f>SUM(D96:D98)</f>
        <v>7499.5600000000486</v>
      </c>
      <c r="E99" s="13"/>
      <c r="F99" s="34">
        <f>IF(D$12=0,0,D99/D$12)</f>
        <v>4.3197050355394624E-2</v>
      </c>
      <c r="G99" s="13"/>
      <c r="H99" s="35">
        <f>SUM(H96:H98)</f>
        <v>-57481.92699692311</v>
      </c>
      <c r="I99" s="13"/>
      <c r="J99" s="34">
        <f>IF(H$12=0,0,H99/H$12)</f>
        <v>-0.6048182554390058</v>
      </c>
      <c r="K99" s="16"/>
      <c r="L99" s="35">
        <f>+D99-H99</f>
        <v>64981.486996923159</v>
      </c>
      <c r="M99" s="16"/>
      <c r="N99" s="34">
        <f>IF(H99=0,0,L99/H99)</f>
        <v>-1.1304681382793844</v>
      </c>
      <c r="O99" s="25"/>
      <c r="P99" s="35">
        <f>SUM(P96:P98)</f>
        <v>-113904.69000000005</v>
      </c>
      <c r="Q99" s="13"/>
      <c r="R99" s="34">
        <f>IF(P$12=0,0,P99/P$12)</f>
        <v>-0.12685492773960369</v>
      </c>
      <c r="S99" s="13"/>
      <c r="T99" s="35">
        <f>SUM(T96:T98)</f>
        <v>-418807.08898</v>
      </c>
      <c r="U99" s="13"/>
      <c r="V99" s="34">
        <f>IF(T$12=0,0,T99/T$12)</f>
        <v>-0.86559004832175923</v>
      </c>
      <c r="W99" s="16"/>
      <c r="X99" s="35">
        <f>+P99-T99</f>
        <v>304902.39897999994</v>
      </c>
      <c r="Y99" s="16"/>
      <c r="Z99" s="34">
        <f>IF(T99=0,0,X99/T99)</f>
        <v>-0.72802587874667146</v>
      </c>
    </row>
    <row r="100" spans="1:26" ht="15" thickTop="1" x14ac:dyDescent="0.3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">
      <c r="A101" s="9"/>
      <c r="B101" s="61">
        <v>44575.842125659721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">
      <c r="A102" s="9"/>
      <c r="B102" s="62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3">
      <c r="A103" s="9"/>
      <c r="B103" s="53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3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105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-14996</v>
      </c>
      <c r="E12" s="4"/>
      <c r="F12" s="12"/>
      <c r="G12" s="4"/>
      <c r="H12" s="4">
        <f>SUM(OSRRefH13x_0)</f>
        <v>34140</v>
      </c>
      <c r="I12" s="4"/>
      <c r="J12" s="12"/>
      <c r="K12" s="4"/>
      <c r="L12" s="4">
        <f t="shared" ref="L12:L13" si="0">+D12-H12</f>
        <v>-49136</v>
      </c>
      <c r="M12" s="4"/>
      <c r="N12" s="12">
        <f t="shared" ref="N12:N13" si="1">IF(H12=0,0,L12/H12)</f>
        <v>-1.4392501464557703</v>
      </c>
      <c r="O12" s="10"/>
      <c r="P12" s="4">
        <f>SUM(OSRRefP13x_0)</f>
        <v>289548</v>
      </c>
      <c r="Q12" s="4"/>
      <c r="R12" s="12"/>
      <c r="S12" s="4"/>
      <c r="T12" s="4">
        <f>SUM(OSRRefT13x_0)</f>
        <v>366011</v>
      </c>
      <c r="U12" s="4"/>
      <c r="V12" s="12"/>
      <c r="W12" s="4"/>
      <c r="X12" s="4">
        <f t="shared" ref="X12:X13" si="2">+P12-T12</f>
        <v>-76463</v>
      </c>
      <c r="Y12" s="4"/>
      <c r="Z12" s="12">
        <f t="shared" ref="Z12:Z13" si="3">IF(T12=0,0,X12/T12)</f>
        <v>-0.20890902185999874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-14996</f>
        <v>-14996</v>
      </c>
      <c r="E13" s="2"/>
      <c r="F13" s="19"/>
      <c r="G13" s="2"/>
      <c r="H13" s="2">
        <v>34140</v>
      </c>
      <c r="I13" s="2"/>
      <c r="J13" s="19"/>
      <c r="K13" s="2"/>
      <c r="L13" s="2">
        <f t="shared" si="0"/>
        <v>-49136</v>
      </c>
      <c r="M13" s="2"/>
      <c r="N13" s="19">
        <f t="shared" si="1"/>
        <v>-1.4392501464557703</v>
      </c>
      <c r="O13" s="11"/>
      <c r="P13" s="2">
        <f>--289548</f>
        <v>289548</v>
      </c>
      <c r="Q13" s="2"/>
      <c r="R13" s="19"/>
      <c r="S13" s="2"/>
      <c r="T13" s="2">
        <v>366011</v>
      </c>
      <c r="U13" s="2"/>
      <c r="V13" s="19"/>
      <c r="W13" s="2"/>
      <c r="X13" s="2">
        <f t="shared" si="2"/>
        <v>-76463</v>
      </c>
      <c r="Y13" s="2"/>
      <c r="Z13" s="19">
        <f t="shared" si="3"/>
        <v>-0.20890902185999874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0">
        <f>D12-D15</f>
        <v>-14996</v>
      </c>
      <c r="E17" s="13"/>
      <c r="F17" s="22">
        <f>IF(D$12=0,0,D17/D$12)</f>
        <v>1</v>
      </c>
      <c r="G17" s="13"/>
      <c r="H17" s="20">
        <f>H12-H15</f>
        <v>34140</v>
      </c>
      <c r="I17" s="13"/>
      <c r="J17" s="22">
        <f>IF(H$12=0,0,H17/H$12)</f>
        <v>1</v>
      </c>
      <c r="K17" s="16"/>
      <c r="L17" s="20">
        <f>+D17-H17</f>
        <v>-49136</v>
      </c>
      <c r="M17" s="16"/>
      <c r="N17" s="22">
        <f>IF(H17=0,0,L17/H17)</f>
        <v>-1.4392501464557703</v>
      </c>
      <c r="O17" s="25"/>
      <c r="P17" s="20">
        <f>P12-P15</f>
        <v>289548</v>
      </c>
      <c r="Q17" s="13"/>
      <c r="R17" s="22">
        <f>IF(P$12=0,0,P17/P$12)</f>
        <v>1</v>
      </c>
      <c r="S17" s="13"/>
      <c r="T17" s="20">
        <f>T12-T15</f>
        <v>366011</v>
      </c>
      <c r="U17" s="13"/>
      <c r="V17" s="22">
        <f>IF(T$12=0,0,T17/T$12)</f>
        <v>1</v>
      </c>
      <c r="W17" s="16"/>
      <c r="X17" s="20">
        <f>+P17-T17</f>
        <v>-76463</v>
      </c>
      <c r="Y17" s="16"/>
      <c r="Z17" s="22">
        <f>IF(T17=0,0,X17/T17)</f>
        <v>-0.20890902185999874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1">
        <f>SUM(OSRRefD22x_0)</f>
        <v>16374.92</v>
      </c>
      <c r="E19" s="21"/>
      <c r="F19" s="32">
        <f t="shared" ref="F19:F30" si="4">IF(D$12=0,0,D19/D$12)</f>
        <v>-1.0919525206721792</v>
      </c>
      <c r="G19" s="21"/>
      <c r="H19" s="21">
        <f>SUM(OSRRefH22x_0)</f>
        <v>33050.339529177691</v>
      </c>
      <c r="I19" s="21"/>
      <c r="J19" s="32">
        <f t="shared" ref="J19:J30" si="5">IF(H$12=0,0,H19/H$12)</f>
        <v>0.96808258726355279</v>
      </c>
      <c r="K19" s="4"/>
      <c r="L19" s="21">
        <f t="shared" ref="L19:L30" si="6">+D19-H19</f>
        <v>-16675.419529177692</v>
      </c>
      <c r="M19" s="4"/>
      <c r="N19" s="32">
        <f t="shared" ref="N19:N30" si="7">IF(H19=0,0,L19/H19)</f>
        <v>-0.50454608838303172</v>
      </c>
      <c r="O19" s="10"/>
      <c r="P19" s="21">
        <f>SUM(OSRRefP22x_0)</f>
        <v>259076.9</v>
      </c>
      <c r="Q19" s="21"/>
      <c r="R19" s="32">
        <f t="shared" ref="R19:R30" si="8">IF(P$12=0,0,P19/P$12)</f>
        <v>0.89476321715225104</v>
      </c>
      <c r="S19" s="21"/>
      <c r="T19" s="21">
        <f>SUM(OSRRefT22x_0)</f>
        <v>343003.57806465501</v>
      </c>
      <c r="U19" s="21"/>
      <c r="V19" s="32">
        <f t="shared" ref="V19:V30" si="9">IF(T$12=0,0,T19/T$12)</f>
        <v>0.93714008066603194</v>
      </c>
      <c r="W19" s="4"/>
      <c r="X19" s="21">
        <f t="shared" ref="X19:X30" si="10">+P19-T19</f>
        <v>-83926.678064655018</v>
      </c>
      <c r="Y19" s="4"/>
      <c r="Z19" s="32">
        <f t="shared" ref="Z19:Z30" si="11">IF(T19=0,0,X19/T19)</f>
        <v>-0.24468164016888222</v>
      </c>
    </row>
    <row r="20" spans="1:26" s="28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3619.5699999999997</v>
      </c>
      <c r="E20" s="1"/>
      <c r="F20" s="5">
        <f t="shared" si="4"/>
        <v>-0.2413690317417978</v>
      </c>
      <c r="G20" s="1"/>
      <c r="H20" s="1">
        <f>SUM(OSRRefH22_0x_0)</f>
        <v>3284.3012868699998</v>
      </c>
      <c r="I20" s="1"/>
      <c r="J20" s="5">
        <f t="shared" si="5"/>
        <v>9.6200975010837728E-2</v>
      </c>
      <c r="K20" s="1"/>
      <c r="L20" s="1">
        <f t="shared" si="6"/>
        <v>335.26871312999992</v>
      </c>
      <c r="M20" s="1"/>
      <c r="N20" s="5">
        <f t="shared" si="7"/>
        <v>0.10208220374614817</v>
      </c>
      <c r="O20" s="14"/>
      <c r="P20" s="1">
        <f>SUM(OSRRefP22_0x_0)</f>
        <v>23492.82</v>
      </c>
      <c r="Q20" s="1"/>
      <c r="R20" s="5">
        <f t="shared" si="8"/>
        <v>8.1136184674043682E-2</v>
      </c>
      <c r="S20" s="1"/>
      <c r="T20" s="1">
        <f>SUM(OSRRefT22_0x_0)</f>
        <v>23169.329489655003</v>
      </c>
      <c r="U20" s="1"/>
      <c r="V20" s="5">
        <f t="shared" si="9"/>
        <v>6.3302276406050642E-2</v>
      </c>
      <c r="W20" s="1"/>
      <c r="X20" s="1">
        <f t="shared" si="10"/>
        <v>323.49051034499644</v>
      </c>
      <c r="Y20" s="1"/>
      <c r="Z20" s="5">
        <f t="shared" si="11"/>
        <v>1.3962014329738521E-2</v>
      </c>
    </row>
    <row r="21" spans="1:26" s="24" customFormat="1" hidden="1" outlineLevel="2" x14ac:dyDescent="0.3">
      <c r="A21" s="29"/>
      <c r="B21" s="11" t="str">
        <f>CONCATENATE("          ", "6111", " - ", "F.I.C.A.")</f>
        <v xml:space="preserve">          6111 - F.I.C.A.</v>
      </c>
      <c r="C21" s="11"/>
      <c r="D21" s="6">
        <v>909.69</v>
      </c>
      <c r="E21" s="2"/>
      <c r="F21" s="7">
        <f t="shared" si="4"/>
        <v>-6.0662176580421452E-2</v>
      </c>
      <c r="G21" s="2"/>
      <c r="H21" s="6">
        <v>673.19318387769204</v>
      </c>
      <c r="I21" s="2"/>
      <c r="J21" s="7">
        <f t="shared" si="5"/>
        <v>1.9718605268825191E-2</v>
      </c>
      <c r="K21" s="2"/>
      <c r="L21" s="6">
        <f t="shared" si="6"/>
        <v>236.49681612230802</v>
      </c>
      <c r="M21" s="2"/>
      <c r="N21" s="7">
        <f t="shared" si="7"/>
        <v>0.35130601703370118</v>
      </c>
      <c r="O21" s="11"/>
      <c r="P21" s="6">
        <v>6699.3</v>
      </c>
      <c r="Q21" s="2"/>
      <c r="R21" s="7">
        <f t="shared" si="8"/>
        <v>2.3137096439968502E-2</v>
      </c>
      <c r="S21" s="2"/>
      <c r="T21" s="6">
        <v>6364.5790702049999</v>
      </c>
      <c r="U21" s="2"/>
      <c r="V21" s="7">
        <f t="shared" si="9"/>
        <v>1.7389037679755526E-2</v>
      </c>
      <c r="W21" s="2"/>
      <c r="X21" s="6">
        <f t="shared" si="10"/>
        <v>334.7209297950003</v>
      </c>
      <c r="Y21" s="2"/>
      <c r="Z21" s="7">
        <f t="shared" si="11"/>
        <v>5.2591212412138218E-2</v>
      </c>
    </row>
    <row r="22" spans="1:26" s="24" customFormat="1" hidden="1" outlineLevel="2" x14ac:dyDescent="0.3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137.25</v>
      </c>
      <c r="E22" s="2"/>
      <c r="F22" s="7">
        <f t="shared" si="4"/>
        <v>-9.1524406508402233E-3</v>
      </c>
      <c r="G22" s="2"/>
      <c r="H22" s="6">
        <v>286.98479639999999</v>
      </c>
      <c r="I22" s="2"/>
      <c r="J22" s="7">
        <f t="shared" si="5"/>
        <v>8.4061158875219678E-3</v>
      </c>
      <c r="K22" s="2"/>
      <c r="L22" s="6">
        <f t="shared" si="6"/>
        <v>-149.73479639999999</v>
      </c>
      <c r="M22" s="2"/>
      <c r="N22" s="7">
        <f t="shared" si="7"/>
        <v>-0.52175166865390088</v>
      </c>
      <c r="O22" s="11"/>
      <c r="P22" s="6">
        <v>1032.5999999999999</v>
      </c>
      <c r="Q22" s="2"/>
      <c r="R22" s="7">
        <f t="shared" si="8"/>
        <v>3.5662480832193621E-3</v>
      </c>
      <c r="S22" s="2"/>
      <c r="T22" s="6">
        <v>1977.8381766</v>
      </c>
      <c r="U22" s="2"/>
      <c r="V22" s="7">
        <f t="shared" si="9"/>
        <v>5.4037670359634001E-3</v>
      </c>
      <c r="W22" s="2"/>
      <c r="X22" s="6">
        <f t="shared" si="10"/>
        <v>-945.23817660000009</v>
      </c>
      <c r="Y22" s="2"/>
      <c r="Z22" s="7">
        <f t="shared" si="11"/>
        <v>-0.47791482022301263</v>
      </c>
    </row>
    <row r="23" spans="1:26" s="24" customFormat="1" hidden="1" outlineLevel="2" x14ac:dyDescent="0.3">
      <c r="A23" s="29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-7.0308748999733259E-2</v>
      </c>
      <c r="G23" s="2"/>
      <c r="H23" s="6">
        <v>1022.5</v>
      </c>
      <c r="I23" s="2"/>
      <c r="J23" s="7">
        <f t="shared" si="5"/>
        <v>2.9950205038078499E-2</v>
      </c>
      <c r="K23" s="2"/>
      <c r="L23" s="6">
        <f t="shared" si="6"/>
        <v>31.849999999999909</v>
      </c>
      <c r="M23" s="2"/>
      <c r="N23" s="7">
        <f t="shared" si="7"/>
        <v>3.114914425427864E-2</v>
      </c>
      <c r="O23" s="11"/>
      <c r="P23" s="6">
        <v>6326.1</v>
      </c>
      <c r="Q23" s="2"/>
      <c r="R23" s="7">
        <f t="shared" si="8"/>
        <v>2.1848190973517347E-2</v>
      </c>
      <c r="S23" s="2"/>
      <c r="T23" s="6">
        <v>6135</v>
      </c>
      <c r="U23" s="2"/>
      <c r="V23" s="7">
        <f t="shared" si="9"/>
        <v>1.6761791312282965E-2</v>
      </c>
      <c r="W23" s="2"/>
      <c r="X23" s="6">
        <f t="shared" si="10"/>
        <v>191.10000000000036</v>
      </c>
      <c r="Y23" s="2"/>
      <c r="Z23" s="7">
        <f t="shared" si="11"/>
        <v>3.1149144254278789E-2</v>
      </c>
    </row>
    <row r="24" spans="1:26" s="24" customFormat="1" hidden="1" outlineLevel="2" x14ac:dyDescent="0.3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27.14</v>
      </c>
      <c r="E24" s="2"/>
      <c r="F24" s="7">
        <f t="shared" si="4"/>
        <v>-1.8098159509202455E-3</v>
      </c>
      <c r="G24" s="2"/>
      <c r="H24" s="6">
        <v>38.6325687461539</v>
      </c>
      <c r="I24" s="2"/>
      <c r="J24" s="7">
        <f t="shared" si="5"/>
        <v>1.1315925233202665E-3</v>
      </c>
      <c r="K24" s="2"/>
      <c r="L24" s="6">
        <f t="shared" si="6"/>
        <v>-11.4925687461539</v>
      </c>
      <c r="M24" s="2"/>
      <c r="N24" s="7">
        <f t="shared" si="7"/>
        <v>-0.29748393956583724</v>
      </c>
      <c r="O24" s="11"/>
      <c r="P24" s="6">
        <v>204.29</v>
      </c>
      <c r="Q24" s="2"/>
      <c r="R24" s="7">
        <f t="shared" si="8"/>
        <v>7.0554795750618203E-4</v>
      </c>
      <c r="S24" s="2"/>
      <c r="T24" s="6">
        <v>266.24744685000002</v>
      </c>
      <c r="U24" s="2"/>
      <c r="V24" s="7">
        <f t="shared" si="9"/>
        <v>7.2743017791815009E-4</v>
      </c>
      <c r="W24" s="2"/>
      <c r="X24" s="6">
        <f t="shared" si="10"/>
        <v>-61.957446850000025</v>
      </c>
      <c r="Y24" s="2"/>
      <c r="Z24" s="7">
        <f t="shared" si="11"/>
        <v>-0.23270625721682867</v>
      </c>
    </row>
    <row r="25" spans="1:26" s="24" customFormat="1" hidden="1" outlineLevel="2" x14ac:dyDescent="0.3">
      <c r="A25" s="29"/>
      <c r="B25" s="11" t="str">
        <f>CONCATENATE("          ", "6115", " - ", "P.E.R.S.")</f>
        <v xml:space="preserve">          6115 - P.E.R.S.</v>
      </c>
      <c r="C25" s="11"/>
      <c r="D25" s="6">
        <v>610.04</v>
      </c>
      <c r="E25" s="2"/>
      <c r="F25" s="7">
        <f t="shared" si="4"/>
        <v>-4.0680181381701784E-2</v>
      </c>
      <c r="G25" s="2"/>
      <c r="H25" s="6">
        <v>576.92767246153903</v>
      </c>
      <c r="I25" s="2"/>
      <c r="J25" s="7">
        <f t="shared" si="5"/>
        <v>1.6898877342165761E-2</v>
      </c>
      <c r="K25" s="2"/>
      <c r="L25" s="6">
        <f t="shared" si="6"/>
        <v>33.112327538460931</v>
      </c>
      <c r="M25" s="2"/>
      <c r="N25" s="7">
        <f t="shared" si="7"/>
        <v>5.7394243887076452E-2</v>
      </c>
      <c r="O25" s="11"/>
      <c r="P25" s="6">
        <v>3859.69</v>
      </c>
      <c r="Q25" s="2"/>
      <c r="R25" s="7">
        <f t="shared" si="8"/>
        <v>1.3330052357467502E-2</v>
      </c>
      <c r="S25" s="2"/>
      <c r="T25" s="6">
        <v>3750.0298710000002</v>
      </c>
      <c r="U25" s="2"/>
      <c r="V25" s="7">
        <f t="shared" si="9"/>
        <v>1.0245675323965673E-2</v>
      </c>
      <c r="W25" s="2"/>
      <c r="X25" s="6">
        <f t="shared" si="10"/>
        <v>109.66012899999987</v>
      </c>
      <c r="Y25" s="2"/>
      <c r="Z25" s="7">
        <f t="shared" si="11"/>
        <v>2.9242468132862472E-2</v>
      </c>
    </row>
    <row r="26" spans="1:26" s="24" customFormat="1" hidden="1" outlineLevel="2" x14ac:dyDescent="0.3">
      <c r="A26" s="29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3">
      <c r="A27" s="29"/>
      <c r="B27" s="11" t="str">
        <f>CONCATENATE("          ", "6117", " - ", "RETIREMENT STAFF HOURLY")</f>
        <v xml:space="preserve">          6117 - RETIREMENT STAFF HOURLY</v>
      </c>
      <c r="C27" s="11"/>
      <c r="D27" s="6"/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>
        <v>215.15</v>
      </c>
      <c r="Q27" s="2"/>
      <c r="R27" s="7">
        <f t="shared" si="8"/>
        <v>7.4305469214085401E-4</v>
      </c>
      <c r="S27" s="2"/>
      <c r="T27" s="6"/>
      <c r="U27" s="2"/>
      <c r="V27" s="7">
        <f t="shared" si="9"/>
        <v>0</v>
      </c>
      <c r="W27" s="2"/>
      <c r="X27" s="6">
        <f t="shared" si="10"/>
        <v>215.15</v>
      </c>
      <c r="Y27" s="2"/>
      <c r="Z27" s="7">
        <f t="shared" si="11"/>
        <v>0</v>
      </c>
    </row>
    <row r="28" spans="1:26" s="24" customFormat="1" hidden="1" outlineLevel="2" x14ac:dyDescent="0.3">
      <c r="A28" s="29"/>
      <c r="B28" s="11" t="str">
        <f>CONCATENATE("          ", "6118", " - ", "VACATION")</f>
        <v xml:space="preserve">          6118 - VACATION</v>
      </c>
      <c r="C28" s="11"/>
      <c r="D28" s="6">
        <v>529.76</v>
      </c>
      <c r="E28" s="2"/>
      <c r="F28" s="7">
        <f t="shared" si="4"/>
        <v>-3.5326753801013605E-2</v>
      </c>
      <c r="G28" s="2"/>
      <c r="H28" s="6">
        <v>201.25383923076899</v>
      </c>
      <c r="I28" s="2"/>
      <c r="J28" s="7">
        <f t="shared" si="5"/>
        <v>5.8949572123833914E-3</v>
      </c>
      <c r="K28" s="2"/>
      <c r="L28" s="6">
        <f t="shared" si="6"/>
        <v>328.50616076923097</v>
      </c>
      <c r="M28" s="2"/>
      <c r="N28" s="7">
        <f t="shared" si="7"/>
        <v>1.6322976099479389</v>
      </c>
      <c r="O28" s="11"/>
      <c r="P28" s="6">
        <v>3044.41</v>
      </c>
      <c r="Q28" s="2"/>
      <c r="R28" s="7">
        <f t="shared" si="8"/>
        <v>1.0514353405998314E-2</v>
      </c>
      <c r="S28" s="2"/>
      <c r="T28" s="6">
        <v>1308.1499550000001</v>
      </c>
      <c r="U28" s="2"/>
      <c r="V28" s="7">
        <f t="shared" si="9"/>
        <v>3.5740727874298862E-3</v>
      </c>
      <c r="W28" s="2"/>
      <c r="X28" s="6">
        <f t="shared" si="10"/>
        <v>1736.2600449999998</v>
      </c>
      <c r="Y28" s="2"/>
      <c r="Z28" s="7">
        <f t="shared" si="11"/>
        <v>1.3272637730588002</v>
      </c>
    </row>
    <row r="29" spans="1:26" s="24" customFormat="1" hidden="1" outlineLevel="2" x14ac:dyDescent="0.3">
      <c r="A29" s="29"/>
      <c r="B29" s="11" t="str">
        <f>CONCATENATE("          ", "6119", " - ", "SICK LEAVE")</f>
        <v xml:space="preserve">          6119 - SICK LEAVE</v>
      </c>
      <c r="C29" s="11"/>
      <c r="D29" s="6">
        <v>277.58999999999997</v>
      </c>
      <c r="E29" s="2"/>
      <c r="F29" s="7">
        <f t="shared" si="4"/>
        <v>-1.8510936249666578E-2</v>
      </c>
      <c r="G29" s="2"/>
      <c r="H29" s="6">
        <v>484.809226153846</v>
      </c>
      <c r="I29" s="2"/>
      <c r="J29" s="7">
        <f t="shared" si="5"/>
        <v>1.4200621738542647E-2</v>
      </c>
      <c r="K29" s="2"/>
      <c r="L29" s="6">
        <f t="shared" si="6"/>
        <v>-207.21922615384602</v>
      </c>
      <c r="M29" s="2"/>
      <c r="N29" s="7">
        <f t="shared" si="7"/>
        <v>-0.4274242629369609</v>
      </c>
      <c r="O29" s="11"/>
      <c r="P29" s="6">
        <v>1756.28</v>
      </c>
      <c r="Q29" s="2"/>
      <c r="R29" s="7">
        <f t="shared" si="8"/>
        <v>6.065591888046196E-3</v>
      </c>
      <c r="S29" s="2"/>
      <c r="T29" s="6">
        <v>3367.48497</v>
      </c>
      <c r="U29" s="2"/>
      <c r="V29" s="7">
        <f t="shared" si="9"/>
        <v>9.2005020887350377E-3</v>
      </c>
      <c r="W29" s="2"/>
      <c r="X29" s="6">
        <f t="shared" si="10"/>
        <v>-1611.20497</v>
      </c>
      <c r="Y29" s="2"/>
      <c r="Z29" s="7">
        <f t="shared" si="11"/>
        <v>-0.4784594391226043</v>
      </c>
    </row>
    <row r="30" spans="1:26" s="24" customFormat="1" hidden="1" outlineLevel="2" x14ac:dyDescent="0.3">
      <c r="A30" s="29"/>
      <c r="B30" s="11" t="str">
        <f>CONCATENATE("          ", "6156", " - ", "EMPLOYEE MEALS")</f>
        <v xml:space="preserve">          6156 - EMPLOYEE MEALS</v>
      </c>
      <c r="C30" s="11"/>
      <c r="D30" s="6">
        <v>73.75</v>
      </c>
      <c r="E30" s="2"/>
      <c r="F30" s="7">
        <f t="shared" si="4"/>
        <v>-4.9179781275006671E-3</v>
      </c>
      <c r="G30" s="2"/>
      <c r="H30" s="6"/>
      <c r="I30" s="2"/>
      <c r="J30" s="7">
        <f t="shared" si="5"/>
        <v>0</v>
      </c>
      <c r="K30" s="2"/>
      <c r="L30" s="6">
        <f t="shared" si="6"/>
        <v>73.75</v>
      </c>
      <c r="M30" s="2"/>
      <c r="N30" s="7">
        <f t="shared" si="7"/>
        <v>0</v>
      </c>
      <c r="O30" s="11"/>
      <c r="P30" s="6">
        <v>355</v>
      </c>
      <c r="Q30" s="2"/>
      <c r="R30" s="7">
        <f t="shared" si="8"/>
        <v>1.2260488761794246E-3</v>
      </c>
      <c r="S30" s="2"/>
      <c r="T30" s="6"/>
      <c r="U30" s="2"/>
      <c r="V30" s="7">
        <f t="shared" si="9"/>
        <v>0</v>
      </c>
      <c r="W30" s="2"/>
      <c r="X30" s="6">
        <f t="shared" si="10"/>
        <v>355</v>
      </c>
      <c r="Y30" s="2"/>
      <c r="Z30" s="7">
        <f t="shared" si="11"/>
        <v>0</v>
      </c>
    </row>
    <row r="31" spans="1:26" s="28" customFormat="1" outlineLevel="1" collapsed="1" x14ac:dyDescent="0.3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11517.15</v>
      </c>
      <c r="E31" s="1"/>
      <c r="F31" s="5">
        <f t="shared" ref="F31:F41" si="12">IF(D$12=0,0,D31/D$12)</f>
        <v>-0.76801480394771937</v>
      </c>
      <c r="G31" s="1"/>
      <c r="H31" s="1">
        <f>SUM(OSRRefH22_1x_0)</f>
        <v>18061.038242307688</v>
      </c>
      <c r="I31" s="1"/>
      <c r="J31" s="5">
        <f t="shared" ref="J31:J41" si="13">IF(H$12=0,0,H31/H$12)</f>
        <v>0.52902865384615372</v>
      </c>
      <c r="K31" s="1"/>
      <c r="L31" s="1">
        <f t="shared" ref="L31:L41" si="14">+D31-H31</f>
        <v>-6543.8882423076884</v>
      </c>
      <c r="M31" s="1"/>
      <c r="N31" s="5">
        <f t="shared" ref="N31:N41" si="15">IF(H31=0,0,L31/H31)</f>
        <v>-0.36232071238179081</v>
      </c>
      <c r="O31" s="14"/>
      <c r="P31" s="1">
        <f>SUM(OSRRefP22_1x_0)</f>
        <v>88963.21</v>
      </c>
      <c r="Q31" s="1"/>
      <c r="R31" s="5">
        <f t="shared" ref="R31:R41" si="16">IF(P$12=0,0,P31/P$12)</f>
        <v>0.30724857363891311</v>
      </c>
      <c r="S31" s="1"/>
      <c r="T31" s="1">
        <f>SUM(OSRRefT22_1x_0)</f>
        <v>124604.24857500001</v>
      </c>
      <c r="U31" s="1"/>
      <c r="V31" s="5">
        <f t="shared" ref="V31:V41" si="17">IF(T$12=0,0,T31/T$12)</f>
        <v>0.34043853483911685</v>
      </c>
      <c r="W31" s="1"/>
      <c r="X31" s="1">
        <f t="shared" ref="X31:X41" si="18">+P31-T31</f>
        <v>-35641.038574999999</v>
      </c>
      <c r="Y31" s="1"/>
      <c r="Z31" s="5">
        <f t="shared" ref="Z31:Z41" si="19">IF(T31=0,0,X31/T31)</f>
        <v>-0.28603389517290378</v>
      </c>
    </row>
    <row r="32" spans="1:26" s="24" customFormat="1" hidden="1" outlineLevel="2" x14ac:dyDescent="0.3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>
        <v>4658.26</v>
      </c>
      <c r="E32" s="2"/>
      <c r="F32" s="7">
        <f t="shared" si="12"/>
        <v>-0.31063350226727127</v>
      </c>
      <c r="G32" s="2"/>
      <c r="H32" s="6">
        <v>4139.8076923076896</v>
      </c>
      <c r="I32" s="2"/>
      <c r="J32" s="7">
        <f t="shared" si="13"/>
        <v>0.12125974494164293</v>
      </c>
      <c r="K32" s="2"/>
      <c r="L32" s="6">
        <f t="shared" si="14"/>
        <v>518.45230769231057</v>
      </c>
      <c r="M32" s="2"/>
      <c r="N32" s="7">
        <f t="shared" si="15"/>
        <v>0.1252358433595028</v>
      </c>
      <c r="O32" s="11"/>
      <c r="P32" s="6">
        <v>28334.79</v>
      </c>
      <c r="Q32" s="2"/>
      <c r="R32" s="7">
        <f t="shared" si="16"/>
        <v>9.7858697003605624E-2</v>
      </c>
      <c r="S32" s="2"/>
      <c r="T32" s="6">
        <v>26908.75</v>
      </c>
      <c r="U32" s="2"/>
      <c r="V32" s="7">
        <f t="shared" si="17"/>
        <v>7.3518965276999873E-2</v>
      </c>
      <c r="W32" s="2"/>
      <c r="X32" s="6">
        <f t="shared" si="18"/>
        <v>1426.0400000000009</v>
      </c>
      <c r="Y32" s="2"/>
      <c r="Z32" s="7">
        <f t="shared" si="19"/>
        <v>5.2995401124169679E-2</v>
      </c>
    </row>
    <row r="33" spans="1:26" s="24" customFormat="1" hidden="1" outlineLevel="2" x14ac:dyDescent="0.3">
      <c r="A33" s="29"/>
      <c r="B33" s="11" t="str">
        <f>CONCATENATE("          ", "6002", " - ", "STAFF SALARIES")</f>
        <v xml:space="preserve">          6002 - STAFF SALARIES</v>
      </c>
      <c r="C33" s="11"/>
      <c r="D33" s="6">
        <v>1360</v>
      </c>
      <c r="E33" s="2"/>
      <c r="F33" s="7">
        <f t="shared" si="12"/>
        <v>-9.0690850893571623E-2</v>
      </c>
      <c r="G33" s="2"/>
      <c r="H33" s="6">
        <v>2233.2305500000002</v>
      </c>
      <c r="I33" s="2"/>
      <c r="J33" s="7">
        <f t="shared" si="13"/>
        <v>6.5413900117164622E-2</v>
      </c>
      <c r="K33" s="2"/>
      <c r="L33" s="6">
        <f t="shared" si="14"/>
        <v>-873.23055000000022</v>
      </c>
      <c r="M33" s="2"/>
      <c r="N33" s="7">
        <f t="shared" si="15"/>
        <v>-0.39101674925591545</v>
      </c>
      <c r="O33" s="11"/>
      <c r="P33" s="6">
        <v>11552.57</v>
      </c>
      <c r="Q33" s="2"/>
      <c r="R33" s="7">
        <f t="shared" si="16"/>
        <v>3.9898635114039814E-2</v>
      </c>
      <c r="S33" s="2"/>
      <c r="T33" s="6">
        <v>14515.998575</v>
      </c>
      <c r="U33" s="2"/>
      <c r="V33" s="7">
        <f t="shared" si="17"/>
        <v>3.9660006324946519E-2</v>
      </c>
      <c r="W33" s="2"/>
      <c r="X33" s="6">
        <f t="shared" si="18"/>
        <v>-2963.4285749999999</v>
      </c>
      <c r="Y33" s="2"/>
      <c r="Z33" s="7">
        <f t="shared" si="19"/>
        <v>-0.20414913653296499</v>
      </c>
    </row>
    <row r="34" spans="1:26" s="24" customFormat="1" hidden="1" outlineLevel="2" x14ac:dyDescent="0.3">
      <c r="A34" s="29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3">
      <c r="A35" s="29"/>
      <c r="B35" s="11" t="str">
        <f>CONCATENATE("          ", "6004", " - ", "STAFF HOURLY")</f>
        <v xml:space="preserve">          6004 - STAFF HOURLY</v>
      </c>
      <c r="C35" s="11"/>
      <c r="D35" s="6">
        <v>1000.06</v>
      </c>
      <c r="E35" s="2"/>
      <c r="F35" s="7">
        <f t="shared" si="12"/>
        <v>-6.6688450253400908E-2</v>
      </c>
      <c r="G35" s="2"/>
      <c r="H35" s="6">
        <v>2088</v>
      </c>
      <c r="I35" s="2"/>
      <c r="J35" s="7">
        <f t="shared" si="13"/>
        <v>6.1159929701230228E-2</v>
      </c>
      <c r="K35" s="2"/>
      <c r="L35" s="6">
        <f t="shared" si="14"/>
        <v>-1087.94</v>
      </c>
      <c r="M35" s="2"/>
      <c r="N35" s="7">
        <f t="shared" si="15"/>
        <v>-0.52104406130268199</v>
      </c>
      <c r="O35" s="11"/>
      <c r="P35" s="6">
        <v>8152.38</v>
      </c>
      <c r="Q35" s="2"/>
      <c r="R35" s="7">
        <f t="shared" si="16"/>
        <v>2.8155538977993288E-2</v>
      </c>
      <c r="S35" s="2"/>
      <c r="T35" s="6">
        <v>13572</v>
      </c>
      <c r="U35" s="2"/>
      <c r="V35" s="7">
        <f t="shared" si="17"/>
        <v>3.7080852761255806E-2</v>
      </c>
      <c r="W35" s="2"/>
      <c r="X35" s="6">
        <f t="shared" si="18"/>
        <v>-5419.62</v>
      </c>
      <c r="Y35" s="2"/>
      <c r="Z35" s="7">
        <f t="shared" si="19"/>
        <v>-0.39932360742705569</v>
      </c>
    </row>
    <row r="36" spans="1:26" s="24" customFormat="1" hidden="1" outlineLevel="2" x14ac:dyDescent="0.3">
      <c r="A36" s="29"/>
      <c r="B36" s="11" t="str">
        <f>CONCATENATE("          ", "6005", " - ", "TEMPORARY WAGES-HOURLY")</f>
        <v xml:space="preserve">          6005 - TEMPORARY WAGES-HOURLY</v>
      </c>
      <c r="C36" s="11"/>
      <c r="D36" s="6">
        <v>4211.55</v>
      </c>
      <c r="E36" s="2"/>
      <c r="F36" s="7">
        <f t="shared" si="12"/>
        <v>-0.28084489197119233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4211.55</v>
      </c>
      <c r="M36" s="2"/>
      <c r="N36" s="7">
        <f t="shared" si="15"/>
        <v>0</v>
      </c>
      <c r="O36" s="11"/>
      <c r="P36" s="6">
        <v>37027.67</v>
      </c>
      <c r="Q36" s="2"/>
      <c r="R36" s="7">
        <f t="shared" si="16"/>
        <v>0.12788093856631716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37027.67</v>
      </c>
      <c r="Y36" s="2"/>
      <c r="Z36" s="7">
        <f t="shared" si="19"/>
        <v>0</v>
      </c>
    </row>
    <row r="37" spans="1:26" s="24" customFormat="1" hidden="1" outlineLevel="2" x14ac:dyDescent="0.3">
      <c r="A37" s="29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3">
      <c r="A38" s="29"/>
      <c r="B38" s="11" t="str">
        <f>CONCATENATE("          ", "6007", " - ", "STUDENT HOURLY")</f>
        <v xml:space="preserve">          6007 - STUDENT HOURLY</v>
      </c>
      <c r="C38" s="11"/>
      <c r="D38" s="6">
        <v>287.27999999999997</v>
      </c>
      <c r="E38" s="2"/>
      <c r="F38" s="7">
        <f t="shared" si="12"/>
        <v>-1.9157108562283275E-2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287.27999999999997</v>
      </c>
      <c r="M38" s="2"/>
      <c r="N38" s="7">
        <f t="shared" si="15"/>
        <v>0</v>
      </c>
      <c r="O38" s="11"/>
      <c r="P38" s="6">
        <v>3731.58</v>
      </c>
      <c r="Q38" s="2"/>
      <c r="R38" s="7">
        <f t="shared" si="16"/>
        <v>1.2887604127813005E-2</v>
      </c>
      <c r="S38" s="2"/>
      <c r="T38" s="6">
        <v>25987.5</v>
      </c>
      <c r="U38" s="2"/>
      <c r="V38" s="7">
        <f t="shared" si="17"/>
        <v>7.1001964421834318E-2</v>
      </c>
      <c r="W38" s="2"/>
      <c r="X38" s="6">
        <f t="shared" si="18"/>
        <v>-22255.919999999998</v>
      </c>
      <c r="Y38" s="2"/>
      <c r="Z38" s="7">
        <f t="shared" si="19"/>
        <v>-0.85640865800865795</v>
      </c>
    </row>
    <row r="39" spans="1:26" s="24" customFormat="1" hidden="1" outlineLevel="2" x14ac:dyDescent="0.3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9600</v>
      </c>
      <c r="I39" s="2"/>
      <c r="J39" s="7">
        <f t="shared" si="13"/>
        <v>0.28119507908611602</v>
      </c>
      <c r="K39" s="2"/>
      <c r="L39" s="6">
        <f t="shared" si="14"/>
        <v>-9600</v>
      </c>
      <c r="M39" s="2"/>
      <c r="N39" s="7">
        <f t="shared" si="15"/>
        <v>-1</v>
      </c>
      <c r="O39" s="11"/>
      <c r="P39" s="6">
        <v>164.22</v>
      </c>
      <c r="Q39" s="2"/>
      <c r="R39" s="7">
        <f t="shared" si="16"/>
        <v>5.6715984914418338E-4</v>
      </c>
      <c r="S39" s="2"/>
      <c r="T39" s="6">
        <v>43620</v>
      </c>
      <c r="U39" s="2"/>
      <c r="V39" s="7">
        <f t="shared" si="17"/>
        <v>0.11917674605408034</v>
      </c>
      <c r="W39" s="2"/>
      <c r="X39" s="6">
        <f t="shared" si="18"/>
        <v>-43455.78</v>
      </c>
      <c r="Y39" s="2"/>
      <c r="Z39" s="7">
        <f t="shared" si="19"/>
        <v>-0.99623521320495179</v>
      </c>
    </row>
    <row r="40" spans="1:26" s="24" customFormat="1" hidden="1" outlineLevel="2" x14ac:dyDescent="0.3">
      <c r="A40" s="29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8" customFormat="1" outlineLevel="1" collapsed="1" x14ac:dyDescent="0.3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2.9291154071470417E-3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112.46</v>
      </c>
      <c r="Q42" s="1"/>
      <c r="R42" s="5">
        <f t="shared" ref="R42:R50" si="24">IF(P$12=0,0,P42/P$12)</f>
        <v>3.8839846933841712E-4</v>
      </c>
      <c r="S42" s="1"/>
      <c r="T42" s="1">
        <f>SUM(OSRRefT22_2x_0)</f>
        <v>600</v>
      </c>
      <c r="U42" s="1"/>
      <c r="V42" s="5">
        <f t="shared" ref="V42:V50" si="25">IF(T$12=0,0,T42/T$12)</f>
        <v>1.6392949938663045E-3</v>
      </c>
      <c r="W42" s="1"/>
      <c r="X42" s="1">
        <f t="shared" ref="X42:X50" si="26">+P42-T42</f>
        <v>-487.54</v>
      </c>
      <c r="Y42" s="1"/>
      <c r="Z42" s="5">
        <f t="shared" ref="Z42:Z50" si="27">IF(T42=0,0,X42/T42)</f>
        <v>-0.81256666666666666</v>
      </c>
    </row>
    <row r="43" spans="1:26" s="24" customFormat="1" hidden="1" outlineLevel="2" x14ac:dyDescent="0.3">
      <c r="A43" s="29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2.9291154071470417E-3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>
        <v>112.46</v>
      </c>
      <c r="Q43" s="2"/>
      <c r="R43" s="7">
        <f t="shared" si="24"/>
        <v>3.8839846933841712E-4</v>
      </c>
      <c r="S43" s="2"/>
      <c r="T43" s="6">
        <v>600</v>
      </c>
      <c r="U43" s="2"/>
      <c r="V43" s="7">
        <f t="shared" si="25"/>
        <v>1.6392949938663045E-3</v>
      </c>
      <c r="W43" s="2"/>
      <c r="X43" s="6">
        <f t="shared" si="26"/>
        <v>-487.54</v>
      </c>
      <c r="Y43" s="2"/>
      <c r="Z43" s="7">
        <f t="shared" si="27"/>
        <v>-0.81256666666666666</v>
      </c>
    </row>
    <row r="44" spans="1:26" s="28" customFormat="1" outlineLevel="1" collapsed="1" x14ac:dyDescent="0.3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278</v>
      </c>
      <c r="E44" s="1"/>
      <c r="F44" s="5">
        <f t="shared" si="20"/>
        <v>-1.8538276873833023E-2</v>
      </c>
      <c r="G44" s="1"/>
      <c r="H44" s="1">
        <f>SUM(OSRRefH22_3x_0)</f>
        <v>1250</v>
      </c>
      <c r="I44" s="1"/>
      <c r="J44" s="5">
        <f t="shared" si="21"/>
        <v>3.6613942589338019E-2</v>
      </c>
      <c r="K44" s="1"/>
      <c r="L44" s="1">
        <f t="shared" si="22"/>
        <v>-972</v>
      </c>
      <c r="M44" s="1"/>
      <c r="N44" s="5">
        <f t="shared" si="23"/>
        <v>-0.77759999999999996</v>
      </c>
      <c r="O44" s="14"/>
      <c r="P44" s="1">
        <f>SUM(OSRRefP22_3x_0)</f>
        <v>1810.5</v>
      </c>
      <c r="Q44" s="1"/>
      <c r="R44" s="5">
        <f t="shared" si="24"/>
        <v>6.2528492685150648E-3</v>
      </c>
      <c r="S44" s="1"/>
      <c r="T44" s="1">
        <f>SUM(OSRRefT22_3x_0)</f>
        <v>7500</v>
      </c>
      <c r="U44" s="1"/>
      <c r="V44" s="5">
        <f t="shared" si="25"/>
        <v>2.0491187423328807E-2</v>
      </c>
      <c r="W44" s="1"/>
      <c r="X44" s="1">
        <f t="shared" si="26"/>
        <v>-5689.5</v>
      </c>
      <c r="Y44" s="1"/>
      <c r="Z44" s="5">
        <f t="shared" si="27"/>
        <v>-0.75860000000000005</v>
      </c>
    </row>
    <row r="45" spans="1:26" s="24" customFormat="1" hidden="1" outlineLevel="2" x14ac:dyDescent="0.3">
      <c r="A45" s="29"/>
      <c r="B45" s="11" t="str">
        <f>CONCATENATE("          ", "6381", " - ", "BANK/CREDIT CARD FEES")</f>
        <v xml:space="preserve">          6381 - BANK/CREDIT CARD FEES</v>
      </c>
      <c r="C45" s="11"/>
      <c r="D45" s="6">
        <v>278</v>
      </c>
      <c r="E45" s="2"/>
      <c r="F45" s="7">
        <f t="shared" si="20"/>
        <v>-1.8538276873833023E-2</v>
      </c>
      <c r="G45" s="2"/>
      <c r="H45" s="6">
        <v>1250</v>
      </c>
      <c r="I45" s="2"/>
      <c r="J45" s="7">
        <f t="shared" si="21"/>
        <v>3.6613942589338019E-2</v>
      </c>
      <c r="K45" s="2"/>
      <c r="L45" s="6">
        <f t="shared" si="22"/>
        <v>-972</v>
      </c>
      <c r="M45" s="2"/>
      <c r="N45" s="7">
        <f t="shared" si="23"/>
        <v>-0.77759999999999996</v>
      </c>
      <c r="O45" s="11"/>
      <c r="P45" s="6">
        <v>1810.5</v>
      </c>
      <c r="Q45" s="2"/>
      <c r="R45" s="7">
        <f t="shared" si="24"/>
        <v>6.2528492685150648E-3</v>
      </c>
      <c r="S45" s="2"/>
      <c r="T45" s="6">
        <v>7500</v>
      </c>
      <c r="U45" s="2"/>
      <c r="V45" s="7">
        <f t="shared" si="25"/>
        <v>2.0491187423328807E-2</v>
      </c>
      <c r="W45" s="2"/>
      <c r="X45" s="6">
        <f t="shared" si="26"/>
        <v>-5689.5</v>
      </c>
      <c r="Y45" s="2"/>
      <c r="Z45" s="7">
        <f t="shared" si="27"/>
        <v>-0.75860000000000005</v>
      </c>
    </row>
    <row r="46" spans="1:26" s="28" customFormat="1" outlineLevel="1" collapsed="1" x14ac:dyDescent="0.3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5.8582308142940832E-4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120</v>
      </c>
      <c r="U46" s="1"/>
      <c r="V46" s="5">
        <f t="shared" si="25"/>
        <v>3.2785899877326092E-4</v>
      </c>
      <c r="W46" s="1"/>
      <c r="X46" s="1">
        <f t="shared" si="26"/>
        <v>-120</v>
      </c>
      <c r="Y46" s="1"/>
      <c r="Z46" s="5">
        <f t="shared" si="27"/>
        <v>-1</v>
      </c>
    </row>
    <row r="47" spans="1:26" s="24" customFormat="1" hidden="1" outlineLevel="2" x14ac:dyDescent="0.3">
      <c r="A47" s="29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5.8582308142940832E-4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120</v>
      </c>
      <c r="U47" s="2"/>
      <c r="V47" s="7">
        <f t="shared" si="25"/>
        <v>3.2785899877326092E-4</v>
      </c>
      <c r="W47" s="2"/>
      <c r="X47" s="6">
        <f t="shared" si="26"/>
        <v>-120</v>
      </c>
      <c r="Y47" s="2"/>
      <c r="Z47" s="7">
        <f t="shared" si="27"/>
        <v>-1</v>
      </c>
    </row>
    <row r="48" spans="1:26" s="28" customFormat="1" outlineLevel="1" collapsed="1" x14ac:dyDescent="0.3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2.9291154071470416E-4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0.62</v>
      </c>
      <c r="Q48" s="1"/>
      <c r="R48" s="5">
        <f t="shared" si="24"/>
        <v>2.1412684598063188E-6</v>
      </c>
      <c r="S48" s="1"/>
      <c r="T48" s="1">
        <f>SUM(OSRRefT22_5x_0)</f>
        <v>60</v>
      </c>
      <c r="U48" s="1"/>
      <c r="V48" s="5">
        <f t="shared" si="25"/>
        <v>1.6392949938663046E-4</v>
      </c>
      <c r="W48" s="1"/>
      <c r="X48" s="1">
        <f t="shared" si="26"/>
        <v>-59.38</v>
      </c>
      <c r="Y48" s="1"/>
      <c r="Z48" s="5">
        <f t="shared" si="27"/>
        <v>-0.98966666666666669</v>
      </c>
    </row>
    <row r="49" spans="1:26" s="24" customFormat="1" hidden="1" outlineLevel="2" x14ac:dyDescent="0.3">
      <c r="A49" s="29"/>
      <c r="B49" s="11" t="str">
        <f>CONCATENATE("          ", "6305", " - ", "FREIGHT OUT")</f>
        <v xml:space="preserve">          6305 - FREIGHT OUT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>
        <v>0.62</v>
      </c>
      <c r="Q49" s="2"/>
      <c r="R49" s="7">
        <f t="shared" si="24"/>
        <v>2.1412684598063188E-6</v>
      </c>
      <c r="S49" s="2"/>
      <c r="T49" s="6"/>
      <c r="U49" s="2"/>
      <c r="V49" s="7">
        <f t="shared" si="25"/>
        <v>0</v>
      </c>
      <c r="W49" s="2"/>
      <c r="X49" s="6">
        <f t="shared" si="26"/>
        <v>0.62</v>
      </c>
      <c r="Y49" s="2"/>
      <c r="Z49" s="7">
        <f t="shared" si="27"/>
        <v>0</v>
      </c>
    </row>
    <row r="50" spans="1:26" s="24" customFormat="1" hidden="1" outlineLevel="2" x14ac:dyDescent="0.3">
      <c r="A50" s="29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0"/>
        <v>0</v>
      </c>
      <c r="G50" s="2"/>
      <c r="H50" s="6">
        <v>10</v>
      </c>
      <c r="I50" s="2"/>
      <c r="J50" s="7">
        <f t="shared" si="21"/>
        <v>2.9291154071470416E-4</v>
      </c>
      <c r="K50" s="2"/>
      <c r="L50" s="6">
        <f t="shared" si="22"/>
        <v>-10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60</v>
      </c>
      <c r="U50" s="2"/>
      <c r="V50" s="7">
        <f t="shared" si="25"/>
        <v>1.6392949938663046E-4</v>
      </c>
      <c r="W50" s="2"/>
      <c r="X50" s="6">
        <f t="shared" si="26"/>
        <v>-60</v>
      </c>
      <c r="Y50" s="2"/>
      <c r="Z50" s="7">
        <f t="shared" si="27"/>
        <v>-1</v>
      </c>
    </row>
    <row r="51" spans="1:26" s="28" customFormat="1" outlineLevel="1" collapsed="1" x14ac:dyDescent="0.3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1.4645577035735209E-3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300</v>
      </c>
      <c r="U51" s="1"/>
      <c r="V51" s="5">
        <f t="shared" ref="V51:V60" si="33">IF(T$12=0,0,T51/T$12)</f>
        <v>8.1964749693315224E-4</v>
      </c>
      <c r="W51" s="1"/>
      <c r="X51" s="1">
        <f t="shared" ref="X51:X60" si="34">+P51-T51</f>
        <v>-300</v>
      </c>
      <c r="Y51" s="1"/>
      <c r="Z51" s="5">
        <f t="shared" ref="Z51:Z60" si="35">IF(T51=0,0,X51/T51)</f>
        <v>-1</v>
      </c>
    </row>
    <row r="52" spans="1:26" s="24" customFormat="1" hidden="1" outlineLevel="2" x14ac:dyDescent="0.3">
      <c r="A52" s="29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1.4645577035735209E-3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300</v>
      </c>
      <c r="U52" s="2"/>
      <c r="V52" s="7">
        <f t="shared" si="33"/>
        <v>8.1964749693315224E-4</v>
      </c>
      <c r="W52" s="2"/>
      <c r="X52" s="6">
        <f t="shared" si="34"/>
        <v>-300</v>
      </c>
      <c r="Y52" s="2"/>
      <c r="Z52" s="7">
        <f t="shared" si="35"/>
        <v>-1</v>
      </c>
    </row>
    <row r="53" spans="1:26" s="28" customFormat="1" outlineLevel="1" collapsed="1" x14ac:dyDescent="0.3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39.43</v>
      </c>
      <c r="E53" s="1"/>
      <c r="F53" s="5">
        <f t="shared" si="28"/>
        <v>-2.6293678314217124E-3</v>
      </c>
      <c r="G53" s="1"/>
      <c r="H53" s="1">
        <f>SUM(OSRRefH22_7x_0)</f>
        <v>40</v>
      </c>
      <c r="I53" s="1"/>
      <c r="J53" s="5">
        <f t="shared" si="29"/>
        <v>1.1716461628588166E-3</v>
      </c>
      <c r="K53" s="1"/>
      <c r="L53" s="1">
        <f t="shared" si="30"/>
        <v>-0.57000000000000028</v>
      </c>
      <c r="M53" s="1"/>
      <c r="N53" s="5">
        <f t="shared" si="31"/>
        <v>-1.4250000000000007E-2</v>
      </c>
      <c r="O53" s="14"/>
      <c r="P53" s="1">
        <f>SUM(OSRRefP22_7x_0)</f>
        <v>236.58</v>
      </c>
      <c r="Q53" s="1"/>
      <c r="R53" s="5">
        <f t="shared" si="32"/>
        <v>8.1706660035641766E-4</v>
      </c>
      <c r="S53" s="1"/>
      <c r="T53" s="1">
        <f>SUM(OSRRefT22_7x_0)</f>
        <v>240</v>
      </c>
      <c r="U53" s="1"/>
      <c r="V53" s="5">
        <f t="shared" si="33"/>
        <v>6.5571799754652184E-4</v>
      </c>
      <c r="W53" s="1"/>
      <c r="X53" s="1">
        <f t="shared" si="34"/>
        <v>-3.4199999999999875</v>
      </c>
      <c r="Y53" s="1"/>
      <c r="Z53" s="5">
        <f t="shared" si="35"/>
        <v>-1.4249999999999948E-2</v>
      </c>
    </row>
    <row r="54" spans="1:26" s="24" customFormat="1" hidden="1" outlineLevel="2" x14ac:dyDescent="0.3">
      <c r="A54" s="29"/>
      <c r="B54" s="11" t="str">
        <f>CONCATENATE("          ", "6314", " - ", "LIABILITY INSURANCE")</f>
        <v xml:space="preserve">          6314 - LIABILITY INSURANCE</v>
      </c>
      <c r="C54" s="11"/>
      <c r="D54" s="6">
        <v>39.43</v>
      </c>
      <c r="E54" s="2"/>
      <c r="F54" s="7">
        <f t="shared" si="28"/>
        <v>-2.6293678314217124E-3</v>
      </c>
      <c r="G54" s="2"/>
      <c r="H54" s="6">
        <v>40</v>
      </c>
      <c r="I54" s="2"/>
      <c r="J54" s="7">
        <f t="shared" si="29"/>
        <v>1.1716461628588166E-3</v>
      </c>
      <c r="K54" s="2"/>
      <c r="L54" s="6">
        <f t="shared" si="30"/>
        <v>-0.57000000000000028</v>
      </c>
      <c r="M54" s="2"/>
      <c r="N54" s="7">
        <f t="shared" si="31"/>
        <v>-1.4250000000000007E-2</v>
      </c>
      <c r="O54" s="11"/>
      <c r="P54" s="6">
        <v>236.58</v>
      </c>
      <c r="Q54" s="2"/>
      <c r="R54" s="7">
        <f t="shared" si="32"/>
        <v>8.1706660035641766E-4</v>
      </c>
      <c r="S54" s="2"/>
      <c r="T54" s="6">
        <v>240</v>
      </c>
      <c r="U54" s="2"/>
      <c r="V54" s="7">
        <f t="shared" si="33"/>
        <v>6.5571799754652184E-4</v>
      </c>
      <c r="W54" s="2"/>
      <c r="X54" s="6">
        <f t="shared" si="34"/>
        <v>-3.4199999999999875</v>
      </c>
      <c r="Y54" s="2"/>
      <c r="Z54" s="7">
        <f t="shared" si="35"/>
        <v>-1.4249999999999948E-2</v>
      </c>
    </row>
    <row r="55" spans="1:26" s="28" customFormat="1" outlineLevel="1" collapsed="1" x14ac:dyDescent="0.3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-5.3347559349159773E-2</v>
      </c>
      <c r="G55" s="1"/>
      <c r="H55" s="1">
        <f>SUM(OSRRefH22_8x_0)</f>
        <v>800</v>
      </c>
      <c r="I55" s="1"/>
      <c r="J55" s="5">
        <f t="shared" si="29"/>
        <v>2.3432923257176334E-2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4800</v>
      </c>
      <c r="Q55" s="1"/>
      <c r="R55" s="5">
        <f t="shared" si="32"/>
        <v>1.6577562269468275E-2</v>
      </c>
      <c r="S55" s="1"/>
      <c r="T55" s="1">
        <f>SUM(OSRRefT22_8x_0)</f>
        <v>4800</v>
      </c>
      <c r="U55" s="1"/>
      <c r="V55" s="5">
        <f t="shared" si="33"/>
        <v>1.3114359950930436E-2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3">
      <c r="A56" s="29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-5.3347559349159773E-2</v>
      </c>
      <c r="G56" s="2"/>
      <c r="H56" s="6">
        <v>800</v>
      </c>
      <c r="I56" s="2"/>
      <c r="J56" s="7">
        <f t="shared" si="29"/>
        <v>2.3432923257176334E-2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4800</v>
      </c>
      <c r="Q56" s="2"/>
      <c r="R56" s="7">
        <f t="shared" si="32"/>
        <v>1.6577562269468275E-2</v>
      </c>
      <c r="S56" s="2"/>
      <c r="T56" s="6">
        <v>4800</v>
      </c>
      <c r="U56" s="2"/>
      <c r="V56" s="7">
        <f t="shared" si="33"/>
        <v>1.3114359950930436E-2</v>
      </c>
      <c r="W56" s="2"/>
      <c r="X56" s="6">
        <f t="shared" si="34"/>
        <v>0</v>
      </c>
      <c r="Y56" s="2"/>
      <c r="Z56" s="7">
        <f t="shared" si="35"/>
        <v>0</v>
      </c>
    </row>
    <row r="57" spans="1:26" s="28" customFormat="1" outlineLevel="1" collapsed="1" x14ac:dyDescent="0.3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3200</v>
      </c>
      <c r="I57" s="1"/>
      <c r="J57" s="5">
        <f t="shared" si="29"/>
        <v>9.3731693028705335E-2</v>
      </c>
      <c r="K57" s="1"/>
      <c r="L57" s="1">
        <f t="shared" si="30"/>
        <v>-3200</v>
      </c>
      <c r="M57" s="1"/>
      <c r="N57" s="5">
        <f t="shared" si="31"/>
        <v>-1</v>
      </c>
      <c r="O57" s="14"/>
      <c r="P57" s="1">
        <f>SUM(OSRRefP22_9x_0)</f>
        <v>122000.62</v>
      </c>
      <c r="Q57" s="1"/>
      <c r="R57" s="5">
        <f t="shared" si="32"/>
        <v>0.42134851561744513</v>
      </c>
      <c r="S57" s="1"/>
      <c r="T57" s="1">
        <f>SUM(OSRRefT22_9x_0)</f>
        <v>144200</v>
      </c>
      <c r="U57" s="1"/>
      <c r="V57" s="5">
        <f t="shared" si="33"/>
        <v>0.39397723019253522</v>
      </c>
      <c r="W57" s="1"/>
      <c r="X57" s="1">
        <f t="shared" si="34"/>
        <v>-22199.380000000005</v>
      </c>
      <c r="Y57" s="1"/>
      <c r="Z57" s="5">
        <f t="shared" si="35"/>
        <v>-0.15394854368932043</v>
      </c>
    </row>
    <row r="58" spans="1:26" s="24" customFormat="1" hidden="1" outlineLevel="2" x14ac:dyDescent="0.3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0.34151979038881347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3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3200</v>
      </c>
      <c r="I59" s="2"/>
      <c r="J59" s="7">
        <f t="shared" si="29"/>
        <v>9.3731693028705335E-2</v>
      </c>
      <c r="K59" s="2"/>
      <c r="L59" s="6">
        <f t="shared" si="30"/>
        <v>-3200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19200</v>
      </c>
      <c r="U59" s="2"/>
      <c r="V59" s="7">
        <f t="shared" si="33"/>
        <v>5.2457439803721743E-2</v>
      </c>
      <c r="W59" s="2"/>
      <c r="X59" s="6">
        <f t="shared" si="34"/>
        <v>-19200</v>
      </c>
      <c r="Y59" s="2"/>
      <c r="Z59" s="7">
        <f t="shared" si="35"/>
        <v>-1</v>
      </c>
    </row>
    <row r="60" spans="1:26" s="24" customFormat="1" hidden="1" outlineLevel="2" x14ac:dyDescent="0.3">
      <c r="A60" s="29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122000.62</v>
      </c>
      <c r="Q60" s="2"/>
      <c r="R60" s="7">
        <f t="shared" si="32"/>
        <v>0.42134851561744513</v>
      </c>
      <c r="S60" s="2"/>
      <c r="T60" s="6"/>
      <c r="U60" s="2"/>
      <c r="V60" s="7">
        <f t="shared" si="33"/>
        <v>0</v>
      </c>
      <c r="W60" s="2"/>
      <c r="X60" s="6">
        <f t="shared" si="34"/>
        <v>122000.62</v>
      </c>
      <c r="Y60" s="2"/>
      <c r="Z60" s="7">
        <f t="shared" si="35"/>
        <v>0</v>
      </c>
    </row>
    <row r="61" spans="1:26" s="28" customFormat="1" outlineLevel="1" collapsed="1" x14ac:dyDescent="0.3">
      <c r="A61" s="27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36">IF(D$12=0,0,D61/D$12)</f>
        <v>0</v>
      </c>
      <c r="G61" s="1"/>
      <c r="H61" s="1">
        <f>SUM(OSRRefH22_10x_0)</f>
        <v>85</v>
      </c>
      <c r="I61" s="1"/>
      <c r="J61" s="5">
        <f t="shared" ref="J61:J66" si="37">IF(H$12=0,0,H61/H$12)</f>
        <v>2.4897480960749852E-3</v>
      </c>
      <c r="K61" s="1"/>
      <c r="L61" s="1">
        <f t="shared" ref="L61:L66" si="38">+D61-H61</f>
        <v>-85</v>
      </c>
      <c r="M61" s="1"/>
      <c r="N61" s="5">
        <f t="shared" ref="N61:N66" si="39">IF(H61=0,0,L61/H61)</f>
        <v>-1</v>
      </c>
      <c r="O61" s="14"/>
      <c r="P61" s="1">
        <f>SUM(OSRRefP22_10x_0)</f>
        <v>0</v>
      </c>
      <c r="Q61" s="1"/>
      <c r="R61" s="5">
        <f t="shared" ref="R61:R66" si="40">IF(P$12=0,0,P61/P$12)</f>
        <v>0</v>
      </c>
      <c r="S61" s="1"/>
      <c r="T61" s="1">
        <f>SUM(OSRRefT22_10x_0)</f>
        <v>510</v>
      </c>
      <c r="U61" s="1"/>
      <c r="V61" s="5">
        <f t="shared" ref="V61:V66" si="41">IF(T$12=0,0,T61/T$12)</f>
        <v>1.3934007447863588E-3</v>
      </c>
      <c r="W61" s="1"/>
      <c r="X61" s="1">
        <f t="shared" ref="X61:X66" si="42">+P61-T61</f>
        <v>-510</v>
      </c>
      <c r="Y61" s="1"/>
      <c r="Z61" s="5">
        <f t="shared" ref="Z61:Z66" si="43">IF(T61=0,0,X61/T61)</f>
        <v>-1</v>
      </c>
    </row>
    <row r="62" spans="1:26" s="24" customFormat="1" hidden="1" outlineLevel="2" x14ac:dyDescent="0.3">
      <c r="A62" s="29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36"/>
        <v>0</v>
      </c>
      <c r="G62" s="2"/>
      <c r="H62" s="6">
        <v>85</v>
      </c>
      <c r="I62" s="2"/>
      <c r="J62" s="7">
        <f t="shared" si="37"/>
        <v>2.4897480960749852E-3</v>
      </c>
      <c r="K62" s="2"/>
      <c r="L62" s="6">
        <f t="shared" si="38"/>
        <v>-85</v>
      </c>
      <c r="M62" s="2"/>
      <c r="N62" s="7">
        <f t="shared" si="39"/>
        <v>-1</v>
      </c>
      <c r="O62" s="11"/>
      <c r="P62" s="6"/>
      <c r="Q62" s="2"/>
      <c r="R62" s="7">
        <f t="shared" si="40"/>
        <v>0</v>
      </c>
      <c r="S62" s="2"/>
      <c r="T62" s="6">
        <v>510</v>
      </c>
      <c r="U62" s="2"/>
      <c r="V62" s="7">
        <f t="shared" si="41"/>
        <v>1.3934007447863588E-3</v>
      </c>
      <c r="W62" s="2"/>
      <c r="X62" s="6">
        <f t="shared" si="42"/>
        <v>-510</v>
      </c>
      <c r="Y62" s="2"/>
      <c r="Z62" s="7">
        <f t="shared" si="43"/>
        <v>-1</v>
      </c>
    </row>
    <row r="63" spans="1:26" s="28" customFormat="1" outlineLevel="1" collapsed="1" x14ac:dyDescent="0.3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30.62</v>
      </c>
      <c r="E63" s="1"/>
      <c r="F63" s="5">
        <f t="shared" si="36"/>
        <v>-2.0418778340890904E-3</v>
      </c>
      <c r="G63" s="1"/>
      <c r="H63" s="1">
        <f>SUM(OSRRefH22_11x_0)</f>
        <v>5800</v>
      </c>
      <c r="I63" s="1"/>
      <c r="J63" s="5">
        <f t="shared" si="37"/>
        <v>0.16988869361452841</v>
      </c>
      <c r="K63" s="1"/>
      <c r="L63" s="1">
        <f t="shared" si="38"/>
        <v>-5769.38</v>
      </c>
      <c r="M63" s="1"/>
      <c r="N63" s="5">
        <f t="shared" si="39"/>
        <v>-0.99472068965517246</v>
      </c>
      <c r="O63" s="14"/>
      <c r="P63" s="1">
        <f>SUM(OSRRefP22_11x_0)</f>
        <v>15555.09</v>
      </c>
      <c r="Q63" s="1"/>
      <c r="R63" s="5">
        <f t="shared" si="40"/>
        <v>5.3721973558788182E-2</v>
      </c>
      <c r="S63" s="1"/>
      <c r="T63" s="1">
        <f>SUM(OSRRefT22_11x_0)</f>
        <v>34800</v>
      </c>
      <c r="U63" s="1"/>
      <c r="V63" s="5">
        <f t="shared" si="41"/>
        <v>9.5079109644245666E-2</v>
      </c>
      <c r="W63" s="1"/>
      <c r="X63" s="1">
        <f t="shared" si="42"/>
        <v>-19244.91</v>
      </c>
      <c r="Y63" s="1"/>
      <c r="Z63" s="5">
        <f t="shared" si="43"/>
        <v>-0.55301465517241377</v>
      </c>
    </row>
    <row r="64" spans="1:26" s="24" customFormat="1" hidden="1" outlineLevel="2" x14ac:dyDescent="0.3">
      <c r="A64" s="29"/>
      <c r="B64" s="11" t="str">
        <f>CONCATENATE("          ", "6234", " - ", "EXPENDABLE SUPPLIES &amp; EQUIPMEN")</f>
        <v xml:space="preserve">          6234 - EXPENDABLE SUPPLIES &amp; EQUIPMEN</v>
      </c>
      <c r="C64" s="11"/>
      <c r="D64" s="6"/>
      <c r="E64" s="2"/>
      <c r="F64" s="7">
        <f t="shared" si="36"/>
        <v>0</v>
      </c>
      <c r="G64" s="2"/>
      <c r="H64" s="6">
        <v>5800</v>
      </c>
      <c r="I64" s="2"/>
      <c r="J64" s="7">
        <f t="shared" si="37"/>
        <v>0.16988869361452841</v>
      </c>
      <c r="K64" s="2"/>
      <c r="L64" s="6">
        <f t="shared" si="38"/>
        <v>-5800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34800</v>
      </c>
      <c r="U64" s="2"/>
      <c r="V64" s="7">
        <f t="shared" si="41"/>
        <v>9.5079109644245666E-2</v>
      </c>
      <c r="W64" s="2"/>
      <c r="X64" s="6">
        <f t="shared" si="42"/>
        <v>-34800</v>
      </c>
      <c r="Y64" s="2"/>
      <c r="Z64" s="7">
        <f t="shared" si="43"/>
        <v>-1</v>
      </c>
    </row>
    <row r="65" spans="1:26" s="24" customFormat="1" hidden="1" outlineLevel="2" x14ac:dyDescent="0.3">
      <c r="A65" s="29"/>
      <c r="B65" s="11" t="str">
        <f>CONCATENATE("          ", "6241", " - ", "OFFICE EXPENSE")</f>
        <v xml:space="preserve">          6241 - OFFICE EXPENSE</v>
      </c>
      <c r="C65" s="11"/>
      <c r="D65" s="6">
        <v>30.62</v>
      </c>
      <c r="E65" s="2"/>
      <c r="F65" s="7">
        <f t="shared" si="36"/>
        <v>-2.0418778340890904E-3</v>
      </c>
      <c r="G65" s="2"/>
      <c r="H65" s="6"/>
      <c r="I65" s="2"/>
      <c r="J65" s="7">
        <f t="shared" si="37"/>
        <v>0</v>
      </c>
      <c r="K65" s="2"/>
      <c r="L65" s="6">
        <f t="shared" si="38"/>
        <v>30.62</v>
      </c>
      <c r="M65" s="2"/>
      <c r="N65" s="7">
        <f t="shared" si="39"/>
        <v>0</v>
      </c>
      <c r="O65" s="11"/>
      <c r="P65" s="6">
        <v>15538.55</v>
      </c>
      <c r="Q65" s="2"/>
      <c r="R65" s="7">
        <f t="shared" si="40"/>
        <v>5.3664850042134636E-2</v>
      </c>
      <c r="S65" s="2"/>
      <c r="T65" s="6"/>
      <c r="U65" s="2"/>
      <c r="V65" s="7">
        <f t="shared" si="41"/>
        <v>0</v>
      </c>
      <c r="W65" s="2"/>
      <c r="X65" s="6">
        <f t="shared" si="42"/>
        <v>15538.55</v>
      </c>
      <c r="Y65" s="2"/>
      <c r="Z65" s="7">
        <f t="shared" si="43"/>
        <v>0</v>
      </c>
    </row>
    <row r="66" spans="1:26" s="24" customFormat="1" hidden="1" outlineLevel="2" x14ac:dyDescent="0.3">
      <c r="A66" s="29"/>
      <c r="B66" s="11" t="str">
        <f>CONCATENATE("          ", "6247", " - ", "STORE SUPPLIES")</f>
        <v xml:space="preserve">          6247 - STORE SUPPLIES</v>
      </c>
      <c r="C66" s="11"/>
      <c r="D66" s="6"/>
      <c r="E66" s="2"/>
      <c r="F66" s="7">
        <f t="shared" si="36"/>
        <v>0</v>
      </c>
      <c r="G66" s="2"/>
      <c r="H66" s="6"/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16.54</v>
      </c>
      <c r="Q66" s="2"/>
      <c r="R66" s="7">
        <f t="shared" si="40"/>
        <v>5.7123516653542758E-5</v>
      </c>
      <c r="S66" s="2"/>
      <c r="T66" s="6"/>
      <c r="U66" s="2"/>
      <c r="V66" s="7">
        <f t="shared" si="41"/>
        <v>0</v>
      </c>
      <c r="W66" s="2"/>
      <c r="X66" s="6">
        <f t="shared" si="42"/>
        <v>16.54</v>
      </c>
      <c r="Y66" s="2"/>
      <c r="Z66" s="7">
        <f t="shared" si="43"/>
        <v>0</v>
      </c>
    </row>
    <row r="67" spans="1:26" s="28" customFormat="1" outlineLevel="1" collapsed="1" x14ac:dyDescent="0.3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90.15</v>
      </c>
      <c r="E67" s="1"/>
      <c r="F67" s="5">
        <f t="shared" ref="F67:F70" si="44">IF(D$12=0,0,D67/D$12)</f>
        <v>-6.0116030941584422E-3</v>
      </c>
      <c r="G67" s="1"/>
      <c r="H67" s="1">
        <f>SUM(OSRRefH22_12x_0)</f>
        <v>350</v>
      </c>
      <c r="I67" s="1"/>
      <c r="J67" s="5">
        <f t="shared" ref="J67:J70" si="45">IF(H$12=0,0,H67/H$12)</f>
        <v>1.0251903925014646E-2</v>
      </c>
      <c r="K67" s="1"/>
      <c r="L67" s="1">
        <f t="shared" ref="L67:L70" si="46">+D67-H67</f>
        <v>-259.85000000000002</v>
      </c>
      <c r="M67" s="1"/>
      <c r="N67" s="5">
        <f t="shared" ref="N67:N70" si="47">IF(H67=0,0,L67/H67)</f>
        <v>-0.74242857142857155</v>
      </c>
      <c r="O67" s="14"/>
      <c r="P67" s="1">
        <f>SUM(OSRRefP22_12x_0)</f>
        <v>105</v>
      </c>
      <c r="Q67" s="1"/>
      <c r="R67" s="5">
        <f t="shared" ref="R67:R70" si="48">IF(P$12=0,0,P67/P$12)</f>
        <v>3.6263417464461851E-4</v>
      </c>
      <c r="S67" s="1"/>
      <c r="T67" s="1">
        <f>SUM(OSRRefT22_12x_0)</f>
        <v>2100</v>
      </c>
      <c r="U67" s="1"/>
      <c r="V67" s="5">
        <f t="shared" ref="V67:V70" si="49">IF(T$12=0,0,T67/T$12)</f>
        <v>5.7375324785320656E-3</v>
      </c>
      <c r="W67" s="1"/>
      <c r="X67" s="1">
        <f t="shared" ref="X67:X70" si="50">+P67-T67</f>
        <v>-1995</v>
      </c>
      <c r="Y67" s="1"/>
      <c r="Z67" s="5">
        <f t="shared" ref="Z67:Z70" si="51">IF(T67=0,0,X67/T67)</f>
        <v>-0.95</v>
      </c>
    </row>
    <row r="68" spans="1:26" s="24" customFormat="1" hidden="1" outlineLevel="2" x14ac:dyDescent="0.3">
      <c r="A68" s="29"/>
      <c r="B68" s="11" t="str">
        <f>CONCATENATE("          ", "6309", " - ", "TELEPHONE")</f>
        <v xml:space="preserve">          6309 - TELEPHONE</v>
      </c>
      <c r="C68" s="11"/>
      <c r="D68" s="6">
        <v>90.15</v>
      </c>
      <c r="E68" s="2"/>
      <c r="F68" s="7">
        <f t="shared" si="44"/>
        <v>-6.0116030941584422E-3</v>
      </c>
      <c r="G68" s="2"/>
      <c r="H68" s="6">
        <v>350</v>
      </c>
      <c r="I68" s="2"/>
      <c r="J68" s="7">
        <f t="shared" si="45"/>
        <v>1.0251903925014646E-2</v>
      </c>
      <c r="K68" s="2"/>
      <c r="L68" s="6">
        <f t="shared" si="46"/>
        <v>-259.85000000000002</v>
      </c>
      <c r="M68" s="2"/>
      <c r="N68" s="7">
        <f t="shared" si="47"/>
        <v>-0.74242857142857155</v>
      </c>
      <c r="O68" s="11"/>
      <c r="P68" s="6">
        <v>105</v>
      </c>
      <c r="Q68" s="2"/>
      <c r="R68" s="7">
        <f t="shared" si="48"/>
        <v>3.6263417464461851E-4</v>
      </c>
      <c r="S68" s="2"/>
      <c r="T68" s="6">
        <v>2100</v>
      </c>
      <c r="U68" s="2"/>
      <c r="V68" s="7">
        <f t="shared" si="49"/>
        <v>5.7375324785320656E-3</v>
      </c>
      <c r="W68" s="2"/>
      <c r="X68" s="6">
        <f t="shared" si="50"/>
        <v>-1995</v>
      </c>
      <c r="Y68" s="2"/>
      <c r="Z68" s="7">
        <f t="shared" si="51"/>
        <v>-0.95</v>
      </c>
    </row>
    <row r="69" spans="1:26" s="28" customFormat="1" outlineLevel="1" collapsed="1" x14ac:dyDescent="0.3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4"/>
      <c r="P69" s="1">
        <f>SUM(OSRRefP22_13x_0)</f>
        <v>2000</v>
      </c>
      <c r="Q69" s="1"/>
      <c r="R69" s="5">
        <f t="shared" si="48"/>
        <v>6.9073176122784481E-3</v>
      </c>
      <c r="S69" s="1"/>
      <c r="T69" s="1">
        <f>SUM(OSRRefT22_13x_0)</f>
        <v>0</v>
      </c>
      <c r="U69" s="1"/>
      <c r="V69" s="5">
        <f t="shared" si="49"/>
        <v>0</v>
      </c>
      <c r="W69" s="1"/>
      <c r="X69" s="1">
        <f t="shared" si="50"/>
        <v>2000</v>
      </c>
      <c r="Y69" s="1"/>
      <c r="Z69" s="5">
        <f t="shared" si="51"/>
        <v>0</v>
      </c>
    </row>
    <row r="70" spans="1:26" s="24" customFormat="1" hidden="1" outlineLevel="2" x14ac:dyDescent="0.3">
      <c r="A70" s="29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2000</v>
      </c>
      <c r="Q70" s="2"/>
      <c r="R70" s="7">
        <f t="shared" si="48"/>
        <v>6.9073176122784481E-3</v>
      </c>
      <c r="S70" s="2"/>
      <c r="T70" s="6"/>
      <c r="U70" s="2"/>
      <c r="V70" s="7">
        <f t="shared" si="49"/>
        <v>0</v>
      </c>
      <c r="W70" s="2"/>
      <c r="X70" s="6">
        <f t="shared" si="50"/>
        <v>2000</v>
      </c>
      <c r="Y70" s="2"/>
      <c r="Z70" s="7">
        <f t="shared" si="51"/>
        <v>0</v>
      </c>
    </row>
    <row r="71" spans="1:26" s="55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713.07</v>
      </c>
      <c r="E72" s="4"/>
      <c r="F72" s="12">
        <f t="shared" ref="F72:F73" si="52">IF(D$12=0,0,D72/D$12)</f>
        <v>-4.7550680181381706E-2</v>
      </c>
      <c r="G72" s="4"/>
      <c r="H72" s="4">
        <f>SUM(OSRRefH25x_0)</f>
        <v>2400</v>
      </c>
      <c r="I72" s="4"/>
      <c r="J72" s="12">
        <f t="shared" ref="J72:J73" si="53">IF(H$12=0,0,H72/H$12)</f>
        <v>7.0298769771529004E-2</v>
      </c>
      <c r="K72" s="4"/>
      <c r="L72" s="4">
        <f t="shared" ref="L72:L73" si="54">+D72-H72</f>
        <v>-1686.9299999999998</v>
      </c>
      <c r="M72" s="4"/>
      <c r="N72" s="12">
        <f t="shared" ref="N72:N73" si="55">IF(H72=0,0,L72/H72)</f>
        <v>-0.70288749999999989</v>
      </c>
      <c r="O72" s="10"/>
      <c r="P72" s="4">
        <f>SUM(OSRRefP25x_0)</f>
        <v>5730.4</v>
      </c>
      <c r="Q72" s="4"/>
      <c r="R72" s="12">
        <f t="shared" ref="R72:R73" si="56">IF(P$12=0,0,P72/P$12)</f>
        <v>1.9790846422700209E-2</v>
      </c>
      <c r="S72" s="4"/>
      <c r="T72" s="4">
        <f>SUM(OSRRefT25x_0)</f>
        <v>14400</v>
      </c>
      <c r="U72" s="4"/>
      <c r="V72" s="12">
        <f t="shared" ref="V72:V73" si="57">IF(T$12=0,0,T72/T$12)</f>
        <v>3.9343079852791313E-2</v>
      </c>
      <c r="W72" s="4"/>
      <c r="X72" s="4">
        <f t="shared" ref="X72:X73" si="58">+P72-T72</f>
        <v>-8669.6</v>
      </c>
      <c r="Y72" s="4"/>
      <c r="Z72" s="12">
        <f t="shared" ref="Z72:Z73" si="59">IF(T72=0,0,X72/T72)</f>
        <v>-0.60205555555555557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--713.07</f>
        <v>713.07</v>
      </c>
      <c r="E73" s="2"/>
      <c r="F73" s="19">
        <f t="shared" si="52"/>
        <v>-4.7550680181381706E-2</v>
      </c>
      <c r="G73" s="2"/>
      <c r="H73" s="2">
        <v>2400</v>
      </c>
      <c r="I73" s="2"/>
      <c r="J73" s="19">
        <f t="shared" si="53"/>
        <v>7.0298769771529004E-2</v>
      </c>
      <c r="K73" s="2"/>
      <c r="L73" s="2">
        <f t="shared" si="54"/>
        <v>-1686.9299999999998</v>
      </c>
      <c r="M73" s="2"/>
      <c r="N73" s="19">
        <f t="shared" si="55"/>
        <v>-0.70288749999999989</v>
      </c>
      <c r="O73" s="11"/>
      <c r="P73" s="2">
        <f>--5730.4</f>
        <v>5730.4</v>
      </c>
      <c r="Q73" s="2"/>
      <c r="R73" s="19">
        <f t="shared" si="56"/>
        <v>1.9790846422700209E-2</v>
      </c>
      <c r="S73" s="2"/>
      <c r="T73" s="2">
        <v>14400</v>
      </c>
      <c r="U73" s="2"/>
      <c r="V73" s="19">
        <f t="shared" si="57"/>
        <v>3.9343079852791313E-2</v>
      </c>
      <c r="W73" s="2"/>
      <c r="X73" s="2">
        <f t="shared" si="58"/>
        <v>-8669.6</v>
      </c>
      <c r="Y73" s="2"/>
      <c r="Z73" s="19">
        <f t="shared" si="59"/>
        <v>-0.60205555555555557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+D17-D19+D72</f>
        <v>-30657.85</v>
      </c>
      <c r="E75" s="13"/>
      <c r="F75" s="22">
        <f>IF(D$12=0,0,D75/D$12)</f>
        <v>2.0444018404907975</v>
      </c>
      <c r="G75" s="13"/>
      <c r="H75" s="20">
        <f>+H17-H19+H72</f>
        <v>3489.6604708223094</v>
      </c>
      <c r="I75" s="13"/>
      <c r="J75" s="22">
        <f>IF(H$12=0,0,H75/H$12)</f>
        <v>0.10221618250797626</v>
      </c>
      <c r="K75" s="16"/>
      <c r="L75" s="20">
        <f>+D75-H75</f>
        <v>-34147.510470822308</v>
      </c>
      <c r="M75" s="16"/>
      <c r="N75" s="22">
        <f>IF(H75=0,0,L75/H75)</f>
        <v>-9.7853389337833576</v>
      </c>
      <c r="O75" s="25"/>
      <c r="P75" s="20">
        <f>+P17-P19+P72</f>
        <v>36201.500000000007</v>
      </c>
      <c r="Q75" s="13"/>
      <c r="R75" s="22">
        <f>IF(P$12=0,0,P75/P$12)</f>
        <v>0.12502762927044914</v>
      </c>
      <c r="S75" s="13"/>
      <c r="T75" s="20">
        <f>+T17-T19+T72</f>
        <v>37407.421935344988</v>
      </c>
      <c r="U75" s="13"/>
      <c r="V75" s="22">
        <f>IF(T$12=0,0,T75/T$12)</f>
        <v>0.10220299918675939</v>
      </c>
      <c r="W75" s="16"/>
      <c r="X75" s="20">
        <f>+P75-T75</f>
        <v>-1205.9219353449807</v>
      </c>
      <c r="Y75" s="16"/>
      <c r="Z75" s="22">
        <f>IF(T75=0,0,X75/T75)</f>
        <v>-3.2237504563380419E-2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-1421.65</v>
      </c>
      <c r="E77" s="4"/>
      <c r="F77" s="12">
        <f>IF(D$12=0,0,D77/D$12)</f>
        <v>9.4801947185916252E-2</v>
      </c>
      <c r="G77" s="4"/>
      <c r="H77" s="4">
        <v>5900</v>
      </c>
      <c r="I77" s="4"/>
      <c r="J77" s="12">
        <f>IF(H$12=0,0,H77/H$12)</f>
        <v>0.17281780902167546</v>
      </c>
      <c r="K77" s="4"/>
      <c r="L77" s="4">
        <f>+D77-H77</f>
        <v>-7321.65</v>
      </c>
      <c r="M77" s="4"/>
      <c r="N77" s="12">
        <f>IF(H77=0,0,L77/H77)</f>
        <v>-1.240957627118644</v>
      </c>
      <c r="O77" s="10"/>
      <c r="P77" s="4">
        <v>34853.120000000003</v>
      </c>
      <c r="Q77" s="4"/>
      <c r="R77" s="12">
        <f>IF(P$12=0,0,P77/P$12)</f>
        <v>0.12037078480942712</v>
      </c>
      <c r="S77" s="4"/>
      <c r="T77" s="4">
        <v>47388</v>
      </c>
      <c r="U77" s="4"/>
      <c r="V77" s="12">
        <f>IF(T$12=0,0,T77/T$12)</f>
        <v>0.12947151861556072</v>
      </c>
      <c r="W77" s="4"/>
      <c r="X77" s="4">
        <f>+P77-T77</f>
        <v>-12534.879999999997</v>
      </c>
      <c r="Y77" s="4"/>
      <c r="Z77" s="12">
        <f>IF(T77=0,0,X77/T77)</f>
        <v>-0.26451591120114792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1">
        <f>+D75-D77</f>
        <v>-29236.199999999997</v>
      </c>
      <c r="E79" s="13"/>
      <c r="F79" s="30">
        <f>IF(D$12=0,0,D79/D$12)</f>
        <v>1.949599893304881</v>
      </c>
      <c r="G79" s="13"/>
      <c r="H79" s="31">
        <f>+H75-H77</f>
        <v>-2410.3395291776906</v>
      </c>
      <c r="I79" s="13"/>
      <c r="J79" s="30">
        <f>IF(H$12=0,0,H79/H$12)</f>
        <v>-7.0601626513699195E-2</v>
      </c>
      <c r="K79" s="16"/>
      <c r="L79" s="31">
        <f>D79-H79</f>
        <v>-26825.860470822307</v>
      </c>
      <c r="M79" s="16"/>
      <c r="N79" s="30">
        <f>IF(H79=0,0,L79/H79)</f>
        <v>11.129494474155761</v>
      </c>
      <c r="O79" s="25"/>
      <c r="P79" s="31">
        <f>+P75-P77</f>
        <v>1348.3800000000047</v>
      </c>
      <c r="Q79" s="13"/>
      <c r="R79" s="30">
        <f>IF(P$12=0,0,P79/P$12)</f>
        <v>4.6568444610220229E-3</v>
      </c>
      <c r="S79" s="13"/>
      <c r="T79" s="31">
        <f>+T75-T77</f>
        <v>-9980.578064655012</v>
      </c>
      <c r="U79" s="13"/>
      <c r="V79" s="30">
        <f>IF(T$12=0,0,T79/T$12)</f>
        <v>-2.7268519428801354E-2</v>
      </c>
      <c r="W79" s="16"/>
      <c r="X79" s="31">
        <f>P79-T79</f>
        <v>11328.958064655017</v>
      </c>
      <c r="Y79" s="16"/>
      <c r="Z79" s="30">
        <f>IF(T79=0,0,X79/T79)</f>
        <v>-1.135100391106115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-29236.199999999997</v>
      </c>
      <c r="E82" s="13"/>
      <c r="F82" s="34">
        <f>IF(D$12=0,0,D82/D$12)</f>
        <v>1.949599893304881</v>
      </c>
      <c r="G82" s="13"/>
      <c r="H82" s="35">
        <f>SUM(H79:H81)</f>
        <v>-2410.3395291776906</v>
      </c>
      <c r="I82" s="13"/>
      <c r="J82" s="34">
        <f>IF(H$12=0,0,H82/H$12)</f>
        <v>-7.0601626513699195E-2</v>
      </c>
      <c r="K82" s="16"/>
      <c r="L82" s="35">
        <f>+D82-H82</f>
        <v>-26825.860470822307</v>
      </c>
      <c r="M82" s="16"/>
      <c r="N82" s="34">
        <f>IF(H82=0,0,L82/H82)</f>
        <v>11.129494474155761</v>
      </c>
      <c r="O82" s="25"/>
      <c r="P82" s="35">
        <f>SUM(P79:P81)</f>
        <v>1348.3800000000047</v>
      </c>
      <c r="Q82" s="13"/>
      <c r="R82" s="34">
        <f>IF(P$12=0,0,P82/P$12)</f>
        <v>4.6568444610220229E-3</v>
      </c>
      <c r="S82" s="13"/>
      <c r="T82" s="35">
        <f>SUM(T79:T81)</f>
        <v>-9980.578064655012</v>
      </c>
      <c r="U82" s="13"/>
      <c r="V82" s="34">
        <f>IF(T$12=0,0,T82/T$12)</f>
        <v>-2.7268519428801354E-2</v>
      </c>
      <c r="W82" s="16"/>
      <c r="X82" s="35">
        <f>+P82-T82</f>
        <v>11328.958064655017</v>
      </c>
      <c r="Y82" s="16"/>
      <c r="Z82" s="34">
        <f>IF(T82=0,0,X82/T82)</f>
        <v>-1.135100391106115</v>
      </c>
    </row>
    <row r="83" spans="1:26" ht="15" thickTop="1" x14ac:dyDescent="0.3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3">
      <c r="A84" s="9"/>
      <c r="B84" s="61">
        <v>44575.842112233797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3">
      <c r="A85" s="9"/>
      <c r="B85" s="62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53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str">
        <f>CONCATENATE("Period ",RIGHT(202206,2),", ",2022)</f>
        <v>Period 06, 2022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4">
        <v>44555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tr">
        <f>CONCATENATE("Department ","501", " - ", "ID Card Services")</f>
        <v>Department 501 - ID Card Services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-14996</v>
      </c>
      <c r="E12" s="4"/>
      <c r="F12" s="12"/>
      <c r="G12" s="4"/>
      <c r="H12" s="4">
        <f>SUM(OSRRefH13x_0)</f>
        <v>34140</v>
      </c>
      <c r="I12" s="4"/>
      <c r="J12" s="12"/>
      <c r="K12" s="4"/>
      <c r="L12" s="4">
        <f t="shared" ref="L12:L13" si="0">+D12-H12</f>
        <v>-49136</v>
      </c>
      <c r="M12" s="4"/>
      <c r="N12" s="12">
        <f t="shared" ref="N12:N13" si="1">IF(H12=0,0,L12/H12)</f>
        <v>-1.4392501464557703</v>
      </c>
      <c r="O12" s="10"/>
      <c r="P12" s="4">
        <f>SUM(OSRRefP13x_0)</f>
        <v>289548</v>
      </c>
      <c r="Q12" s="4"/>
      <c r="R12" s="12"/>
      <c r="S12" s="4"/>
      <c r="T12" s="4">
        <f>SUM(OSRRefT13x_0)</f>
        <v>366011</v>
      </c>
      <c r="U12" s="4"/>
      <c r="V12" s="12"/>
      <c r="W12" s="4"/>
      <c r="X12" s="4">
        <f t="shared" ref="X12:X13" si="2">+P12-T12</f>
        <v>-76463</v>
      </c>
      <c r="Y12" s="4"/>
      <c r="Z12" s="12">
        <f t="shared" ref="Z12:Z13" si="3">IF(T12=0,0,X12/T12)</f>
        <v>-0.20890902185999874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-14996</f>
        <v>-14996</v>
      </c>
      <c r="E13" s="2"/>
      <c r="F13" s="19"/>
      <c r="G13" s="2"/>
      <c r="H13" s="2">
        <v>34140</v>
      </c>
      <c r="I13" s="2"/>
      <c r="J13" s="19"/>
      <c r="K13" s="2"/>
      <c r="L13" s="2">
        <f t="shared" si="0"/>
        <v>-49136</v>
      </c>
      <c r="M13" s="2"/>
      <c r="N13" s="19">
        <f t="shared" si="1"/>
        <v>-1.4392501464557703</v>
      </c>
      <c r="O13" s="11"/>
      <c r="P13" s="2">
        <f>--289548</f>
        <v>289548</v>
      </c>
      <c r="Q13" s="2"/>
      <c r="R13" s="19"/>
      <c r="S13" s="2"/>
      <c r="T13" s="2">
        <v>366011</v>
      </c>
      <c r="U13" s="2"/>
      <c r="V13" s="19"/>
      <c r="W13" s="2"/>
      <c r="X13" s="2">
        <f t="shared" si="2"/>
        <v>-76463</v>
      </c>
      <c r="Y13" s="2"/>
      <c r="Z13" s="19">
        <f t="shared" si="3"/>
        <v>-0.20890902185999874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0">
        <f>D12-D15</f>
        <v>-14996</v>
      </c>
      <c r="E17" s="13"/>
      <c r="F17" s="22">
        <f>IF(D$12=0,0,D17/D$12)</f>
        <v>1</v>
      </c>
      <c r="G17" s="13"/>
      <c r="H17" s="20">
        <f>H12-H15</f>
        <v>34140</v>
      </c>
      <c r="I17" s="13"/>
      <c r="J17" s="22">
        <f>IF(H$12=0,0,H17/H$12)</f>
        <v>1</v>
      </c>
      <c r="K17" s="16"/>
      <c r="L17" s="20">
        <f>+D17-H17</f>
        <v>-49136</v>
      </c>
      <c r="M17" s="16"/>
      <c r="N17" s="22">
        <f>IF(H17=0,0,L17/H17)</f>
        <v>-1.4392501464557703</v>
      </c>
      <c r="O17" s="25"/>
      <c r="P17" s="20">
        <f>P12-P15</f>
        <v>289548</v>
      </c>
      <c r="Q17" s="13"/>
      <c r="R17" s="22">
        <f>IF(P$12=0,0,P17/P$12)</f>
        <v>1</v>
      </c>
      <c r="S17" s="13"/>
      <c r="T17" s="20">
        <f>T12-T15</f>
        <v>366011</v>
      </c>
      <c r="U17" s="13"/>
      <c r="V17" s="22">
        <f>IF(T$12=0,0,T17/T$12)</f>
        <v>1</v>
      </c>
      <c r="W17" s="16"/>
      <c r="X17" s="20">
        <f>+P17-T17</f>
        <v>-76463</v>
      </c>
      <c r="Y17" s="16"/>
      <c r="Z17" s="22">
        <f>IF(T17=0,0,X17/T17)</f>
        <v>-0.20890902185999874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1">
        <f>SUM(OSRRefD22x_0)</f>
        <v>16374.92</v>
      </c>
      <c r="E19" s="21"/>
      <c r="F19" s="32">
        <f t="shared" ref="F19:F30" si="4">IF(D$12=0,0,D19/D$12)</f>
        <v>-1.0919525206721792</v>
      </c>
      <c r="G19" s="21"/>
      <c r="H19" s="21">
        <f>SUM(OSRRefH22x_0)</f>
        <v>33050.339529177691</v>
      </c>
      <c r="I19" s="21"/>
      <c r="J19" s="32">
        <f t="shared" ref="J19:J30" si="5">IF(H$12=0,0,H19/H$12)</f>
        <v>0.96808258726355279</v>
      </c>
      <c r="K19" s="4"/>
      <c r="L19" s="21">
        <f t="shared" ref="L19:L30" si="6">+D19-H19</f>
        <v>-16675.419529177692</v>
      </c>
      <c r="M19" s="4"/>
      <c r="N19" s="32">
        <f t="shared" ref="N19:N30" si="7">IF(H19=0,0,L19/H19)</f>
        <v>-0.50454608838303172</v>
      </c>
      <c r="O19" s="10"/>
      <c r="P19" s="21">
        <f>SUM(OSRRefP22x_0)</f>
        <v>259076.9</v>
      </c>
      <c r="Q19" s="21"/>
      <c r="R19" s="32">
        <f t="shared" ref="R19:R30" si="8">IF(P$12=0,0,P19/P$12)</f>
        <v>0.89476321715225104</v>
      </c>
      <c r="S19" s="21"/>
      <c r="T19" s="21">
        <f>SUM(OSRRefT22x_0)</f>
        <v>343003.57806465501</v>
      </c>
      <c r="U19" s="21"/>
      <c r="V19" s="32">
        <f t="shared" ref="V19:V30" si="9">IF(T$12=0,0,T19/T$12)</f>
        <v>0.93714008066603194</v>
      </c>
      <c r="W19" s="4"/>
      <c r="X19" s="21">
        <f t="shared" ref="X19:X30" si="10">+P19-T19</f>
        <v>-83926.678064655018</v>
      </c>
      <c r="Y19" s="4"/>
      <c r="Z19" s="32">
        <f t="shared" ref="Z19:Z30" si="11">IF(T19=0,0,X19/T19)</f>
        <v>-0.24468164016888222</v>
      </c>
    </row>
    <row r="20" spans="1:26" s="28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3619.5699999999997</v>
      </c>
      <c r="E20" s="1"/>
      <c r="F20" s="5">
        <f t="shared" si="4"/>
        <v>-0.2413690317417978</v>
      </c>
      <c r="G20" s="1"/>
      <c r="H20" s="1">
        <f>SUM(OSRRefH22_0x_0)</f>
        <v>3284.3012868699998</v>
      </c>
      <c r="I20" s="1"/>
      <c r="J20" s="5">
        <f t="shared" si="5"/>
        <v>9.6200975010837728E-2</v>
      </c>
      <c r="K20" s="1"/>
      <c r="L20" s="1">
        <f t="shared" si="6"/>
        <v>335.26871312999992</v>
      </c>
      <c r="M20" s="1"/>
      <c r="N20" s="5">
        <f t="shared" si="7"/>
        <v>0.10208220374614817</v>
      </c>
      <c r="O20" s="14"/>
      <c r="P20" s="1">
        <f>SUM(OSRRefP22_0x_0)</f>
        <v>23492.82</v>
      </c>
      <c r="Q20" s="1"/>
      <c r="R20" s="5">
        <f t="shared" si="8"/>
        <v>8.1136184674043682E-2</v>
      </c>
      <c r="S20" s="1"/>
      <c r="T20" s="1">
        <f>SUM(OSRRefT22_0x_0)</f>
        <v>23169.329489655003</v>
      </c>
      <c r="U20" s="1"/>
      <c r="V20" s="5">
        <f t="shared" si="9"/>
        <v>6.3302276406050642E-2</v>
      </c>
      <c r="W20" s="1"/>
      <c r="X20" s="1">
        <f t="shared" si="10"/>
        <v>323.49051034499644</v>
      </c>
      <c r="Y20" s="1"/>
      <c r="Z20" s="5">
        <f t="shared" si="11"/>
        <v>1.3962014329738521E-2</v>
      </c>
    </row>
    <row r="21" spans="1:26" s="24" customFormat="1" hidden="1" outlineLevel="2" x14ac:dyDescent="0.3">
      <c r="A21" s="29"/>
      <c r="B21" s="11" t="str">
        <f>CONCATENATE("          ", "6111", " - ", "F.I.C.A.")</f>
        <v xml:space="preserve">          6111 - F.I.C.A.</v>
      </c>
      <c r="C21" s="11"/>
      <c r="D21" s="6">
        <v>909.69</v>
      </c>
      <c r="E21" s="2"/>
      <c r="F21" s="7">
        <f t="shared" si="4"/>
        <v>-6.0662176580421452E-2</v>
      </c>
      <c r="G21" s="2"/>
      <c r="H21" s="6">
        <v>673.19318387769204</v>
      </c>
      <c r="I21" s="2"/>
      <c r="J21" s="7">
        <f t="shared" si="5"/>
        <v>1.9718605268825191E-2</v>
      </c>
      <c r="K21" s="2"/>
      <c r="L21" s="6">
        <f t="shared" si="6"/>
        <v>236.49681612230802</v>
      </c>
      <c r="M21" s="2"/>
      <c r="N21" s="7">
        <f t="shared" si="7"/>
        <v>0.35130601703370118</v>
      </c>
      <c r="O21" s="11"/>
      <c r="P21" s="6">
        <v>6699.3</v>
      </c>
      <c r="Q21" s="2"/>
      <c r="R21" s="7">
        <f t="shared" si="8"/>
        <v>2.3137096439968502E-2</v>
      </c>
      <c r="S21" s="2"/>
      <c r="T21" s="6">
        <v>6364.5790702049999</v>
      </c>
      <c r="U21" s="2"/>
      <c r="V21" s="7">
        <f t="shared" si="9"/>
        <v>1.7389037679755526E-2</v>
      </c>
      <c r="W21" s="2"/>
      <c r="X21" s="6">
        <f t="shared" si="10"/>
        <v>334.7209297950003</v>
      </c>
      <c r="Y21" s="2"/>
      <c r="Z21" s="7">
        <f t="shared" si="11"/>
        <v>5.2591212412138218E-2</v>
      </c>
    </row>
    <row r="22" spans="1:26" s="24" customFormat="1" hidden="1" outlineLevel="2" x14ac:dyDescent="0.3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137.25</v>
      </c>
      <c r="E22" s="2"/>
      <c r="F22" s="7">
        <f t="shared" si="4"/>
        <v>-9.1524406508402233E-3</v>
      </c>
      <c r="G22" s="2"/>
      <c r="H22" s="6">
        <v>286.98479639999999</v>
      </c>
      <c r="I22" s="2"/>
      <c r="J22" s="7">
        <f t="shared" si="5"/>
        <v>8.4061158875219678E-3</v>
      </c>
      <c r="K22" s="2"/>
      <c r="L22" s="6">
        <f t="shared" si="6"/>
        <v>-149.73479639999999</v>
      </c>
      <c r="M22" s="2"/>
      <c r="N22" s="7">
        <f t="shared" si="7"/>
        <v>-0.52175166865390088</v>
      </c>
      <c r="O22" s="11"/>
      <c r="P22" s="6">
        <v>1032.5999999999999</v>
      </c>
      <c r="Q22" s="2"/>
      <c r="R22" s="7">
        <f t="shared" si="8"/>
        <v>3.5662480832193621E-3</v>
      </c>
      <c r="S22" s="2"/>
      <c r="T22" s="6">
        <v>1977.8381766</v>
      </c>
      <c r="U22" s="2"/>
      <c r="V22" s="7">
        <f t="shared" si="9"/>
        <v>5.4037670359634001E-3</v>
      </c>
      <c r="W22" s="2"/>
      <c r="X22" s="6">
        <f t="shared" si="10"/>
        <v>-945.23817660000009</v>
      </c>
      <c r="Y22" s="2"/>
      <c r="Z22" s="7">
        <f t="shared" si="11"/>
        <v>-0.47791482022301263</v>
      </c>
    </row>
    <row r="23" spans="1:26" s="24" customFormat="1" hidden="1" outlineLevel="2" x14ac:dyDescent="0.3">
      <c r="A23" s="29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-7.0308748999733259E-2</v>
      </c>
      <c r="G23" s="2"/>
      <c r="H23" s="6">
        <v>1022.5</v>
      </c>
      <c r="I23" s="2"/>
      <c r="J23" s="7">
        <f t="shared" si="5"/>
        <v>2.9950205038078499E-2</v>
      </c>
      <c r="K23" s="2"/>
      <c r="L23" s="6">
        <f t="shared" si="6"/>
        <v>31.849999999999909</v>
      </c>
      <c r="M23" s="2"/>
      <c r="N23" s="7">
        <f t="shared" si="7"/>
        <v>3.114914425427864E-2</v>
      </c>
      <c r="O23" s="11"/>
      <c r="P23" s="6">
        <v>6326.1</v>
      </c>
      <c r="Q23" s="2"/>
      <c r="R23" s="7">
        <f t="shared" si="8"/>
        <v>2.1848190973517347E-2</v>
      </c>
      <c r="S23" s="2"/>
      <c r="T23" s="6">
        <v>6135</v>
      </c>
      <c r="U23" s="2"/>
      <c r="V23" s="7">
        <f t="shared" si="9"/>
        <v>1.6761791312282965E-2</v>
      </c>
      <c r="W23" s="2"/>
      <c r="X23" s="6">
        <f t="shared" si="10"/>
        <v>191.10000000000036</v>
      </c>
      <c r="Y23" s="2"/>
      <c r="Z23" s="7">
        <f t="shared" si="11"/>
        <v>3.1149144254278789E-2</v>
      </c>
    </row>
    <row r="24" spans="1:26" s="24" customFormat="1" hidden="1" outlineLevel="2" x14ac:dyDescent="0.3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27.14</v>
      </c>
      <c r="E24" s="2"/>
      <c r="F24" s="7">
        <f t="shared" si="4"/>
        <v>-1.8098159509202455E-3</v>
      </c>
      <c r="G24" s="2"/>
      <c r="H24" s="6">
        <v>38.6325687461539</v>
      </c>
      <c r="I24" s="2"/>
      <c r="J24" s="7">
        <f t="shared" si="5"/>
        <v>1.1315925233202665E-3</v>
      </c>
      <c r="K24" s="2"/>
      <c r="L24" s="6">
        <f t="shared" si="6"/>
        <v>-11.4925687461539</v>
      </c>
      <c r="M24" s="2"/>
      <c r="N24" s="7">
        <f t="shared" si="7"/>
        <v>-0.29748393956583724</v>
      </c>
      <c r="O24" s="11"/>
      <c r="P24" s="6">
        <v>204.29</v>
      </c>
      <c r="Q24" s="2"/>
      <c r="R24" s="7">
        <f t="shared" si="8"/>
        <v>7.0554795750618203E-4</v>
      </c>
      <c r="S24" s="2"/>
      <c r="T24" s="6">
        <v>266.24744685000002</v>
      </c>
      <c r="U24" s="2"/>
      <c r="V24" s="7">
        <f t="shared" si="9"/>
        <v>7.2743017791815009E-4</v>
      </c>
      <c r="W24" s="2"/>
      <c r="X24" s="6">
        <f t="shared" si="10"/>
        <v>-61.957446850000025</v>
      </c>
      <c r="Y24" s="2"/>
      <c r="Z24" s="7">
        <f t="shared" si="11"/>
        <v>-0.23270625721682867</v>
      </c>
    </row>
    <row r="25" spans="1:26" s="24" customFormat="1" hidden="1" outlineLevel="2" x14ac:dyDescent="0.3">
      <c r="A25" s="29"/>
      <c r="B25" s="11" t="str">
        <f>CONCATENATE("          ", "6115", " - ", "P.E.R.S.")</f>
        <v xml:space="preserve">          6115 - P.E.R.S.</v>
      </c>
      <c r="C25" s="11"/>
      <c r="D25" s="6">
        <v>610.04</v>
      </c>
      <c r="E25" s="2"/>
      <c r="F25" s="7">
        <f t="shared" si="4"/>
        <v>-4.0680181381701784E-2</v>
      </c>
      <c r="G25" s="2"/>
      <c r="H25" s="6">
        <v>576.92767246153903</v>
      </c>
      <c r="I25" s="2"/>
      <c r="J25" s="7">
        <f t="shared" si="5"/>
        <v>1.6898877342165761E-2</v>
      </c>
      <c r="K25" s="2"/>
      <c r="L25" s="6">
        <f t="shared" si="6"/>
        <v>33.112327538460931</v>
      </c>
      <c r="M25" s="2"/>
      <c r="N25" s="7">
        <f t="shared" si="7"/>
        <v>5.7394243887076452E-2</v>
      </c>
      <c r="O25" s="11"/>
      <c r="P25" s="6">
        <v>3859.69</v>
      </c>
      <c r="Q25" s="2"/>
      <c r="R25" s="7">
        <f t="shared" si="8"/>
        <v>1.3330052357467502E-2</v>
      </c>
      <c r="S25" s="2"/>
      <c r="T25" s="6">
        <v>3750.0298710000002</v>
      </c>
      <c r="U25" s="2"/>
      <c r="V25" s="7">
        <f t="shared" si="9"/>
        <v>1.0245675323965673E-2</v>
      </c>
      <c r="W25" s="2"/>
      <c r="X25" s="6">
        <f t="shared" si="10"/>
        <v>109.66012899999987</v>
      </c>
      <c r="Y25" s="2"/>
      <c r="Z25" s="7">
        <f t="shared" si="11"/>
        <v>2.9242468132862472E-2</v>
      </c>
    </row>
    <row r="26" spans="1:26" s="24" customFormat="1" hidden="1" outlineLevel="2" x14ac:dyDescent="0.3">
      <c r="A26" s="29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3">
      <c r="A27" s="29"/>
      <c r="B27" s="11" t="str">
        <f>CONCATENATE("          ", "6117", " - ", "RETIREMENT STAFF HOURLY")</f>
        <v xml:space="preserve">          6117 - RETIREMENT STAFF HOURLY</v>
      </c>
      <c r="C27" s="11"/>
      <c r="D27" s="6"/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>
        <v>215.15</v>
      </c>
      <c r="Q27" s="2"/>
      <c r="R27" s="7">
        <f t="shared" si="8"/>
        <v>7.4305469214085401E-4</v>
      </c>
      <c r="S27" s="2"/>
      <c r="T27" s="6"/>
      <c r="U27" s="2"/>
      <c r="V27" s="7">
        <f t="shared" si="9"/>
        <v>0</v>
      </c>
      <c r="W27" s="2"/>
      <c r="X27" s="6">
        <f t="shared" si="10"/>
        <v>215.15</v>
      </c>
      <c r="Y27" s="2"/>
      <c r="Z27" s="7">
        <f t="shared" si="11"/>
        <v>0</v>
      </c>
    </row>
    <row r="28" spans="1:26" s="24" customFormat="1" hidden="1" outlineLevel="2" x14ac:dyDescent="0.3">
      <c r="A28" s="29"/>
      <c r="B28" s="11" t="str">
        <f>CONCATENATE("          ", "6118", " - ", "VACATION")</f>
        <v xml:space="preserve">          6118 - VACATION</v>
      </c>
      <c r="C28" s="11"/>
      <c r="D28" s="6">
        <v>529.76</v>
      </c>
      <c r="E28" s="2"/>
      <c r="F28" s="7">
        <f t="shared" si="4"/>
        <v>-3.5326753801013605E-2</v>
      </c>
      <c r="G28" s="2"/>
      <c r="H28" s="6">
        <v>201.25383923076899</v>
      </c>
      <c r="I28" s="2"/>
      <c r="J28" s="7">
        <f t="shared" si="5"/>
        <v>5.8949572123833914E-3</v>
      </c>
      <c r="K28" s="2"/>
      <c r="L28" s="6">
        <f t="shared" si="6"/>
        <v>328.50616076923097</v>
      </c>
      <c r="M28" s="2"/>
      <c r="N28" s="7">
        <f t="shared" si="7"/>
        <v>1.6322976099479389</v>
      </c>
      <c r="O28" s="11"/>
      <c r="P28" s="6">
        <v>3044.41</v>
      </c>
      <c r="Q28" s="2"/>
      <c r="R28" s="7">
        <f t="shared" si="8"/>
        <v>1.0514353405998314E-2</v>
      </c>
      <c r="S28" s="2"/>
      <c r="T28" s="6">
        <v>1308.1499550000001</v>
      </c>
      <c r="U28" s="2"/>
      <c r="V28" s="7">
        <f t="shared" si="9"/>
        <v>3.5740727874298862E-3</v>
      </c>
      <c r="W28" s="2"/>
      <c r="X28" s="6">
        <f t="shared" si="10"/>
        <v>1736.2600449999998</v>
      </c>
      <c r="Y28" s="2"/>
      <c r="Z28" s="7">
        <f t="shared" si="11"/>
        <v>1.3272637730588002</v>
      </c>
    </row>
    <row r="29" spans="1:26" s="24" customFormat="1" hidden="1" outlineLevel="2" x14ac:dyDescent="0.3">
      <c r="A29" s="29"/>
      <c r="B29" s="11" t="str">
        <f>CONCATENATE("          ", "6119", " - ", "SICK LEAVE")</f>
        <v xml:space="preserve">          6119 - SICK LEAVE</v>
      </c>
      <c r="C29" s="11"/>
      <c r="D29" s="6">
        <v>277.58999999999997</v>
      </c>
      <c r="E29" s="2"/>
      <c r="F29" s="7">
        <f t="shared" si="4"/>
        <v>-1.8510936249666578E-2</v>
      </c>
      <c r="G29" s="2"/>
      <c r="H29" s="6">
        <v>484.809226153846</v>
      </c>
      <c r="I29" s="2"/>
      <c r="J29" s="7">
        <f t="shared" si="5"/>
        <v>1.4200621738542647E-2</v>
      </c>
      <c r="K29" s="2"/>
      <c r="L29" s="6">
        <f t="shared" si="6"/>
        <v>-207.21922615384602</v>
      </c>
      <c r="M29" s="2"/>
      <c r="N29" s="7">
        <f t="shared" si="7"/>
        <v>-0.4274242629369609</v>
      </c>
      <c r="O29" s="11"/>
      <c r="P29" s="6">
        <v>1756.28</v>
      </c>
      <c r="Q29" s="2"/>
      <c r="R29" s="7">
        <f t="shared" si="8"/>
        <v>6.065591888046196E-3</v>
      </c>
      <c r="S29" s="2"/>
      <c r="T29" s="6">
        <v>3367.48497</v>
      </c>
      <c r="U29" s="2"/>
      <c r="V29" s="7">
        <f t="shared" si="9"/>
        <v>9.2005020887350377E-3</v>
      </c>
      <c r="W29" s="2"/>
      <c r="X29" s="6">
        <f t="shared" si="10"/>
        <v>-1611.20497</v>
      </c>
      <c r="Y29" s="2"/>
      <c r="Z29" s="7">
        <f t="shared" si="11"/>
        <v>-0.4784594391226043</v>
      </c>
    </row>
    <row r="30" spans="1:26" s="24" customFormat="1" hidden="1" outlineLevel="2" x14ac:dyDescent="0.3">
      <c r="A30" s="29"/>
      <c r="B30" s="11" t="str">
        <f>CONCATENATE("          ", "6156", " - ", "EMPLOYEE MEALS")</f>
        <v xml:space="preserve">          6156 - EMPLOYEE MEALS</v>
      </c>
      <c r="C30" s="11"/>
      <c r="D30" s="6">
        <v>73.75</v>
      </c>
      <c r="E30" s="2"/>
      <c r="F30" s="7">
        <f t="shared" si="4"/>
        <v>-4.9179781275006671E-3</v>
      </c>
      <c r="G30" s="2"/>
      <c r="H30" s="6"/>
      <c r="I30" s="2"/>
      <c r="J30" s="7">
        <f t="shared" si="5"/>
        <v>0</v>
      </c>
      <c r="K30" s="2"/>
      <c r="L30" s="6">
        <f t="shared" si="6"/>
        <v>73.75</v>
      </c>
      <c r="M30" s="2"/>
      <c r="N30" s="7">
        <f t="shared" si="7"/>
        <v>0</v>
      </c>
      <c r="O30" s="11"/>
      <c r="P30" s="6">
        <v>355</v>
      </c>
      <c r="Q30" s="2"/>
      <c r="R30" s="7">
        <f t="shared" si="8"/>
        <v>1.2260488761794246E-3</v>
      </c>
      <c r="S30" s="2"/>
      <c r="T30" s="6"/>
      <c r="U30" s="2"/>
      <c r="V30" s="7">
        <f t="shared" si="9"/>
        <v>0</v>
      </c>
      <c r="W30" s="2"/>
      <c r="X30" s="6">
        <f t="shared" si="10"/>
        <v>355</v>
      </c>
      <c r="Y30" s="2"/>
      <c r="Z30" s="7">
        <f t="shared" si="11"/>
        <v>0</v>
      </c>
    </row>
    <row r="31" spans="1:26" s="28" customFormat="1" outlineLevel="1" collapsed="1" x14ac:dyDescent="0.3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11517.15</v>
      </c>
      <c r="E31" s="1"/>
      <c r="F31" s="5">
        <f t="shared" ref="F31:F41" si="12">IF(D$12=0,0,D31/D$12)</f>
        <v>-0.76801480394771937</v>
      </c>
      <c r="G31" s="1"/>
      <c r="H31" s="1">
        <f>SUM(OSRRefH22_1x_0)</f>
        <v>18061.038242307688</v>
      </c>
      <c r="I31" s="1"/>
      <c r="J31" s="5">
        <f t="shared" ref="J31:J41" si="13">IF(H$12=0,0,H31/H$12)</f>
        <v>0.52902865384615372</v>
      </c>
      <c r="K31" s="1"/>
      <c r="L31" s="1">
        <f t="shared" ref="L31:L41" si="14">+D31-H31</f>
        <v>-6543.8882423076884</v>
      </c>
      <c r="M31" s="1"/>
      <c r="N31" s="5">
        <f t="shared" ref="N31:N41" si="15">IF(H31=0,0,L31/H31)</f>
        <v>-0.36232071238179081</v>
      </c>
      <c r="O31" s="14"/>
      <c r="P31" s="1">
        <f>SUM(OSRRefP22_1x_0)</f>
        <v>88963.21</v>
      </c>
      <c r="Q31" s="1"/>
      <c r="R31" s="5">
        <f t="shared" ref="R31:R41" si="16">IF(P$12=0,0,P31/P$12)</f>
        <v>0.30724857363891311</v>
      </c>
      <c r="S31" s="1"/>
      <c r="T31" s="1">
        <f>SUM(OSRRefT22_1x_0)</f>
        <v>124604.24857500001</v>
      </c>
      <c r="U31" s="1"/>
      <c r="V31" s="5">
        <f t="shared" ref="V31:V41" si="17">IF(T$12=0,0,T31/T$12)</f>
        <v>0.34043853483911685</v>
      </c>
      <c r="W31" s="1"/>
      <c r="X31" s="1">
        <f t="shared" ref="X31:X41" si="18">+P31-T31</f>
        <v>-35641.038574999999</v>
      </c>
      <c r="Y31" s="1"/>
      <c r="Z31" s="5">
        <f t="shared" ref="Z31:Z41" si="19">IF(T31=0,0,X31/T31)</f>
        <v>-0.28603389517290378</v>
      </c>
    </row>
    <row r="32" spans="1:26" s="24" customFormat="1" hidden="1" outlineLevel="2" x14ac:dyDescent="0.3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>
        <v>4658.26</v>
      </c>
      <c r="E32" s="2"/>
      <c r="F32" s="7">
        <f t="shared" si="12"/>
        <v>-0.31063350226727127</v>
      </c>
      <c r="G32" s="2"/>
      <c r="H32" s="6">
        <v>4139.8076923076896</v>
      </c>
      <c r="I32" s="2"/>
      <c r="J32" s="7">
        <f t="shared" si="13"/>
        <v>0.12125974494164293</v>
      </c>
      <c r="K32" s="2"/>
      <c r="L32" s="6">
        <f t="shared" si="14"/>
        <v>518.45230769231057</v>
      </c>
      <c r="M32" s="2"/>
      <c r="N32" s="7">
        <f t="shared" si="15"/>
        <v>0.1252358433595028</v>
      </c>
      <c r="O32" s="11"/>
      <c r="P32" s="6">
        <v>28334.79</v>
      </c>
      <c r="Q32" s="2"/>
      <c r="R32" s="7">
        <f t="shared" si="16"/>
        <v>9.7858697003605624E-2</v>
      </c>
      <c r="S32" s="2"/>
      <c r="T32" s="6">
        <v>26908.75</v>
      </c>
      <c r="U32" s="2"/>
      <c r="V32" s="7">
        <f t="shared" si="17"/>
        <v>7.3518965276999873E-2</v>
      </c>
      <c r="W32" s="2"/>
      <c r="X32" s="6">
        <f t="shared" si="18"/>
        <v>1426.0400000000009</v>
      </c>
      <c r="Y32" s="2"/>
      <c r="Z32" s="7">
        <f t="shared" si="19"/>
        <v>5.2995401124169679E-2</v>
      </c>
    </row>
    <row r="33" spans="1:26" s="24" customFormat="1" hidden="1" outlineLevel="2" x14ac:dyDescent="0.3">
      <c r="A33" s="29"/>
      <c r="B33" s="11" t="str">
        <f>CONCATENATE("          ", "6002", " - ", "STAFF SALARIES")</f>
        <v xml:space="preserve">          6002 - STAFF SALARIES</v>
      </c>
      <c r="C33" s="11"/>
      <c r="D33" s="6">
        <v>1360</v>
      </c>
      <c r="E33" s="2"/>
      <c r="F33" s="7">
        <f t="shared" si="12"/>
        <v>-9.0690850893571623E-2</v>
      </c>
      <c r="G33" s="2"/>
      <c r="H33" s="6">
        <v>2233.2305500000002</v>
      </c>
      <c r="I33" s="2"/>
      <c r="J33" s="7">
        <f t="shared" si="13"/>
        <v>6.5413900117164622E-2</v>
      </c>
      <c r="K33" s="2"/>
      <c r="L33" s="6">
        <f t="shared" si="14"/>
        <v>-873.23055000000022</v>
      </c>
      <c r="M33" s="2"/>
      <c r="N33" s="7">
        <f t="shared" si="15"/>
        <v>-0.39101674925591545</v>
      </c>
      <c r="O33" s="11"/>
      <c r="P33" s="6">
        <v>11552.57</v>
      </c>
      <c r="Q33" s="2"/>
      <c r="R33" s="7">
        <f t="shared" si="16"/>
        <v>3.9898635114039814E-2</v>
      </c>
      <c r="S33" s="2"/>
      <c r="T33" s="6">
        <v>14515.998575</v>
      </c>
      <c r="U33" s="2"/>
      <c r="V33" s="7">
        <f t="shared" si="17"/>
        <v>3.9660006324946519E-2</v>
      </c>
      <c r="W33" s="2"/>
      <c r="X33" s="6">
        <f t="shared" si="18"/>
        <v>-2963.4285749999999</v>
      </c>
      <c r="Y33" s="2"/>
      <c r="Z33" s="7">
        <f t="shared" si="19"/>
        <v>-0.20414913653296499</v>
      </c>
    </row>
    <row r="34" spans="1:26" s="24" customFormat="1" hidden="1" outlineLevel="2" x14ac:dyDescent="0.3">
      <c r="A34" s="29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3">
      <c r="A35" s="29"/>
      <c r="B35" s="11" t="str">
        <f>CONCATENATE("          ", "6004", " - ", "STAFF HOURLY")</f>
        <v xml:space="preserve">          6004 - STAFF HOURLY</v>
      </c>
      <c r="C35" s="11"/>
      <c r="D35" s="6">
        <v>1000.06</v>
      </c>
      <c r="E35" s="2"/>
      <c r="F35" s="7">
        <f t="shared" si="12"/>
        <v>-6.6688450253400908E-2</v>
      </c>
      <c r="G35" s="2"/>
      <c r="H35" s="6">
        <v>2088</v>
      </c>
      <c r="I35" s="2"/>
      <c r="J35" s="7">
        <f t="shared" si="13"/>
        <v>6.1159929701230228E-2</v>
      </c>
      <c r="K35" s="2"/>
      <c r="L35" s="6">
        <f t="shared" si="14"/>
        <v>-1087.94</v>
      </c>
      <c r="M35" s="2"/>
      <c r="N35" s="7">
        <f t="shared" si="15"/>
        <v>-0.52104406130268199</v>
      </c>
      <c r="O35" s="11"/>
      <c r="P35" s="6">
        <v>8152.38</v>
      </c>
      <c r="Q35" s="2"/>
      <c r="R35" s="7">
        <f t="shared" si="16"/>
        <v>2.8155538977993288E-2</v>
      </c>
      <c r="S35" s="2"/>
      <c r="T35" s="6">
        <v>13572</v>
      </c>
      <c r="U35" s="2"/>
      <c r="V35" s="7">
        <f t="shared" si="17"/>
        <v>3.7080852761255806E-2</v>
      </c>
      <c r="W35" s="2"/>
      <c r="X35" s="6">
        <f t="shared" si="18"/>
        <v>-5419.62</v>
      </c>
      <c r="Y35" s="2"/>
      <c r="Z35" s="7">
        <f t="shared" si="19"/>
        <v>-0.39932360742705569</v>
      </c>
    </row>
    <row r="36" spans="1:26" s="24" customFormat="1" hidden="1" outlineLevel="2" x14ac:dyDescent="0.3">
      <c r="A36" s="29"/>
      <c r="B36" s="11" t="str">
        <f>CONCATENATE("          ", "6005", " - ", "TEMPORARY WAGES-HOURLY")</f>
        <v xml:space="preserve">          6005 - TEMPORARY WAGES-HOURLY</v>
      </c>
      <c r="C36" s="11"/>
      <c r="D36" s="6">
        <v>4211.55</v>
      </c>
      <c r="E36" s="2"/>
      <c r="F36" s="7">
        <f t="shared" si="12"/>
        <v>-0.28084489197119233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4211.55</v>
      </c>
      <c r="M36" s="2"/>
      <c r="N36" s="7">
        <f t="shared" si="15"/>
        <v>0</v>
      </c>
      <c r="O36" s="11"/>
      <c r="P36" s="6">
        <v>37027.67</v>
      </c>
      <c r="Q36" s="2"/>
      <c r="R36" s="7">
        <f t="shared" si="16"/>
        <v>0.12788093856631716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37027.67</v>
      </c>
      <c r="Y36" s="2"/>
      <c r="Z36" s="7">
        <f t="shared" si="19"/>
        <v>0</v>
      </c>
    </row>
    <row r="37" spans="1:26" s="24" customFormat="1" hidden="1" outlineLevel="2" x14ac:dyDescent="0.3">
      <c r="A37" s="29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3">
      <c r="A38" s="29"/>
      <c r="B38" s="11" t="str">
        <f>CONCATENATE("          ", "6007", " - ", "STUDENT HOURLY")</f>
        <v xml:space="preserve">          6007 - STUDENT HOURLY</v>
      </c>
      <c r="C38" s="11"/>
      <c r="D38" s="6">
        <v>287.27999999999997</v>
      </c>
      <c r="E38" s="2"/>
      <c r="F38" s="7">
        <f t="shared" si="12"/>
        <v>-1.9157108562283275E-2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287.27999999999997</v>
      </c>
      <c r="M38" s="2"/>
      <c r="N38" s="7">
        <f t="shared" si="15"/>
        <v>0</v>
      </c>
      <c r="O38" s="11"/>
      <c r="P38" s="6">
        <v>3731.58</v>
      </c>
      <c r="Q38" s="2"/>
      <c r="R38" s="7">
        <f t="shared" si="16"/>
        <v>1.2887604127813005E-2</v>
      </c>
      <c r="S38" s="2"/>
      <c r="T38" s="6">
        <v>25987.5</v>
      </c>
      <c r="U38" s="2"/>
      <c r="V38" s="7">
        <f t="shared" si="17"/>
        <v>7.1001964421834318E-2</v>
      </c>
      <c r="W38" s="2"/>
      <c r="X38" s="6">
        <f t="shared" si="18"/>
        <v>-22255.919999999998</v>
      </c>
      <c r="Y38" s="2"/>
      <c r="Z38" s="7">
        <f t="shared" si="19"/>
        <v>-0.85640865800865795</v>
      </c>
    </row>
    <row r="39" spans="1:26" s="24" customFormat="1" hidden="1" outlineLevel="2" x14ac:dyDescent="0.3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9600</v>
      </c>
      <c r="I39" s="2"/>
      <c r="J39" s="7">
        <f t="shared" si="13"/>
        <v>0.28119507908611602</v>
      </c>
      <c r="K39" s="2"/>
      <c r="L39" s="6">
        <f t="shared" si="14"/>
        <v>-9600</v>
      </c>
      <c r="M39" s="2"/>
      <c r="N39" s="7">
        <f t="shared" si="15"/>
        <v>-1</v>
      </c>
      <c r="O39" s="11"/>
      <c r="P39" s="6">
        <v>164.22</v>
      </c>
      <c r="Q39" s="2"/>
      <c r="R39" s="7">
        <f t="shared" si="16"/>
        <v>5.6715984914418338E-4</v>
      </c>
      <c r="S39" s="2"/>
      <c r="T39" s="6">
        <v>43620</v>
      </c>
      <c r="U39" s="2"/>
      <c r="V39" s="7">
        <f t="shared" si="17"/>
        <v>0.11917674605408034</v>
      </c>
      <c r="W39" s="2"/>
      <c r="X39" s="6">
        <f t="shared" si="18"/>
        <v>-43455.78</v>
      </c>
      <c r="Y39" s="2"/>
      <c r="Z39" s="7">
        <f t="shared" si="19"/>
        <v>-0.99623521320495179</v>
      </c>
    </row>
    <row r="40" spans="1:26" s="24" customFormat="1" hidden="1" outlineLevel="2" x14ac:dyDescent="0.3">
      <c r="A40" s="29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8" customFormat="1" outlineLevel="1" collapsed="1" x14ac:dyDescent="0.3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2.9291154071470417E-3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112.46</v>
      </c>
      <c r="Q42" s="1"/>
      <c r="R42" s="5">
        <f t="shared" ref="R42:R50" si="24">IF(P$12=0,0,P42/P$12)</f>
        <v>3.8839846933841712E-4</v>
      </c>
      <c r="S42" s="1"/>
      <c r="T42" s="1">
        <f>SUM(OSRRefT22_2x_0)</f>
        <v>600</v>
      </c>
      <c r="U42" s="1"/>
      <c r="V42" s="5">
        <f t="shared" ref="V42:V50" si="25">IF(T$12=0,0,T42/T$12)</f>
        <v>1.6392949938663045E-3</v>
      </c>
      <c r="W42" s="1"/>
      <c r="X42" s="1">
        <f t="shared" ref="X42:X50" si="26">+P42-T42</f>
        <v>-487.54</v>
      </c>
      <c r="Y42" s="1"/>
      <c r="Z42" s="5">
        <f t="shared" ref="Z42:Z50" si="27">IF(T42=0,0,X42/T42)</f>
        <v>-0.81256666666666666</v>
      </c>
    </row>
    <row r="43" spans="1:26" s="24" customFormat="1" hidden="1" outlineLevel="2" x14ac:dyDescent="0.3">
      <c r="A43" s="29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2.9291154071470417E-3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>
        <v>112.46</v>
      </c>
      <c r="Q43" s="2"/>
      <c r="R43" s="7">
        <f t="shared" si="24"/>
        <v>3.8839846933841712E-4</v>
      </c>
      <c r="S43" s="2"/>
      <c r="T43" s="6">
        <v>600</v>
      </c>
      <c r="U43" s="2"/>
      <c r="V43" s="7">
        <f t="shared" si="25"/>
        <v>1.6392949938663045E-3</v>
      </c>
      <c r="W43" s="2"/>
      <c r="X43" s="6">
        <f t="shared" si="26"/>
        <v>-487.54</v>
      </c>
      <c r="Y43" s="2"/>
      <c r="Z43" s="7">
        <f t="shared" si="27"/>
        <v>-0.81256666666666666</v>
      </c>
    </row>
    <row r="44" spans="1:26" s="28" customFormat="1" outlineLevel="1" collapsed="1" x14ac:dyDescent="0.3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278</v>
      </c>
      <c r="E44" s="1"/>
      <c r="F44" s="5">
        <f t="shared" si="20"/>
        <v>-1.8538276873833023E-2</v>
      </c>
      <c r="G44" s="1"/>
      <c r="H44" s="1">
        <f>SUM(OSRRefH22_3x_0)</f>
        <v>1250</v>
      </c>
      <c r="I44" s="1"/>
      <c r="J44" s="5">
        <f t="shared" si="21"/>
        <v>3.6613942589338019E-2</v>
      </c>
      <c r="K44" s="1"/>
      <c r="L44" s="1">
        <f t="shared" si="22"/>
        <v>-972</v>
      </c>
      <c r="M44" s="1"/>
      <c r="N44" s="5">
        <f t="shared" si="23"/>
        <v>-0.77759999999999996</v>
      </c>
      <c r="O44" s="14"/>
      <c r="P44" s="1">
        <f>SUM(OSRRefP22_3x_0)</f>
        <v>1810.5</v>
      </c>
      <c r="Q44" s="1"/>
      <c r="R44" s="5">
        <f t="shared" si="24"/>
        <v>6.2528492685150648E-3</v>
      </c>
      <c r="S44" s="1"/>
      <c r="T44" s="1">
        <f>SUM(OSRRefT22_3x_0)</f>
        <v>7500</v>
      </c>
      <c r="U44" s="1"/>
      <c r="V44" s="5">
        <f t="shared" si="25"/>
        <v>2.0491187423328807E-2</v>
      </c>
      <c r="W44" s="1"/>
      <c r="X44" s="1">
        <f t="shared" si="26"/>
        <v>-5689.5</v>
      </c>
      <c r="Y44" s="1"/>
      <c r="Z44" s="5">
        <f t="shared" si="27"/>
        <v>-0.75860000000000005</v>
      </c>
    </row>
    <row r="45" spans="1:26" s="24" customFormat="1" hidden="1" outlineLevel="2" x14ac:dyDescent="0.3">
      <c r="A45" s="29"/>
      <c r="B45" s="11" t="str">
        <f>CONCATENATE("          ", "6381", " - ", "BANK/CREDIT CARD FEES")</f>
        <v xml:space="preserve">          6381 - BANK/CREDIT CARD FEES</v>
      </c>
      <c r="C45" s="11"/>
      <c r="D45" s="6">
        <v>278</v>
      </c>
      <c r="E45" s="2"/>
      <c r="F45" s="7">
        <f t="shared" si="20"/>
        <v>-1.8538276873833023E-2</v>
      </c>
      <c r="G45" s="2"/>
      <c r="H45" s="6">
        <v>1250</v>
      </c>
      <c r="I45" s="2"/>
      <c r="J45" s="7">
        <f t="shared" si="21"/>
        <v>3.6613942589338019E-2</v>
      </c>
      <c r="K45" s="2"/>
      <c r="L45" s="6">
        <f t="shared" si="22"/>
        <v>-972</v>
      </c>
      <c r="M45" s="2"/>
      <c r="N45" s="7">
        <f t="shared" si="23"/>
        <v>-0.77759999999999996</v>
      </c>
      <c r="O45" s="11"/>
      <c r="P45" s="6">
        <v>1810.5</v>
      </c>
      <c r="Q45" s="2"/>
      <c r="R45" s="7">
        <f t="shared" si="24"/>
        <v>6.2528492685150648E-3</v>
      </c>
      <c r="S45" s="2"/>
      <c r="T45" s="6">
        <v>7500</v>
      </c>
      <c r="U45" s="2"/>
      <c r="V45" s="7">
        <f t="shared" si="25"/>
        <v>2.0491187423328807E-2</v>
      </c>
      <c r="W45" s="2"/>
      <c r="X45" s="6">
        <f t="shared" si="26"/>
        <v>-5689.5</v>
      </c>
      <c r="Y45" s="2"/>
      <c r="Z45" s="7">
        <f t="shared" si="27"/>
        <v>-0.75860000000000005</v>
      </c>
    </row>
    <row r="46" spans="1:26" s="28" customFormat="1" outlineLevel="1" collapsed="1" x14ac:dyDescent="0.3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5.8582308142940832E-4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120</v>
      </c>
      <c r="U46" s="1"/>
      <c r="V46" s="5">
        <f t="shared" si="25"/>
        <v>3.2785899877326092E-4</v>
      </c>
      <c r="W46" s="1"/>
      <c r="X46" s="1">
        <f t="shared" si="26"/>
        <v>-120</v>
      </c>
      <c r="Y46" s="1"/>
      <c r="Z46" s="5">
        <f t="shared" si="27"/>
        <v>-1</v>
      </c>
    </row>
    <row r="47" spans="1:26" s="24" customFormat="1" hidden="1" outlineLevel="2" x14ac:dyDescent="0.3">
      <c r="A47" s="29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5.8582308142940832E-4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120</v>
      </c>
      <c r="U47" s="2"/>
      <c r="V47" s="7">
        <f t="shared" si="25"/>
        <v>3.2785899877326092E-4</v>
      </c>
      <c r="W47" s="2"/>
      <c r="X47" s="6">
        <f t="shared" si="26"/>
        <v>-120</v>
      </c>
      <c r="Y47" s="2"/>
      <c r="Z47" s="7">
        <f t="shared" si="27"/>
        <v>-1</v>
      </c>
    </row>
    <row r="48" spans="1:26" s="28" customFormat="1" outlineLevel="1" collapsed="1" x14ac:dyDescent="0.3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2.9291154071470416E-4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0.62</v>
      </c>
      <c r="Q48" s="1"/>
      <c r="R48" s="5">
        <f t="shared" si="24"/>
        <v>2.1412684598063188E-6</v>
      </c>
      <c r="S48" s="1"/>
      <c r="T48" s="1">
        <f>SUM(OSRRefT22_5x_0)</f>
        <v>60</v>
      </c>
      <c r="U48" s="1"/>
      <c r="V48" s="5">
        <f t="shared" si="25"/>
        <v>1.6392949938663046E-4</v>
      </c>
      <c r="W48" s="1"/>
      <c r="X48" s="1">
        <f t="shared" si="26"/>
        <v>-59.38</v>
      </c>
      <c r="Y48" s="1"/>
      <c r="Z48" s="5">
        <f t="shared" si="27"/>
        <v>-0.98966666666666669</v>
      </c>
    </row>
    <row r="49" spans="1:26" s="24" customFormat="1" hidden="1" outlineLevel="2" x14ac:dyDescent="0.3">
      <c r="A49" s="29"/>
      <c r="B49" s="11" t="str">
        <f>CONCATENATE("          ", "6305", " - ", "FREIGHT OUT")</f>
        <v xml:space="preserve">          6305 - FREIGHT OUT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>
        <v>0.62</v>
      </c>
      <c r="Q49" s="2"/>
      <c r="R49" s="7">
        <f t="shared" si="24"/>
        <v>2.1412684598063188E-6</v>
      </c>
      <c r="S49" s="2"/>
      <c r="T49" s="6"/>
      <c r="U49" s="2"/>
      <c r="V49" s="7">
        <f t="shared" si="25"/>
        <v>0</v>
      </c>
      <c r="W49" s="2"/>
      <c r="X49" s="6">
        <f t="shared" si="26"/>
        <v>0.62</v>
      </c>
      <c r="Y49" s="2"/>
      <c r="Z49" s="7">
        <f t="shared" si="27"/>
        <v>0</v>
      </c>
    </row>
    <row r="50" spans="1:26" s="24" customFormat="1" hidden="1" outlineLevel="2" x14ac:dyDescent="0.3">
      <c r="A50" s="29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0"/>
        <v>0</v>
      </c>
      <c r="G50" s="2"/>
      <c r="H50" s="6">
        <v>10</v>
      </c>
      <c r="I50" s="2"/>
      <c r="J50" s="7">
        <f t="shared" si="21"/>
        <v>2.9291154071470416E-4</v>
      </c>
      <c r="K50" s="2"/>
      <c r="L50" s="6">
        <f t="shared" si="22"/>
        <v>-10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60</v>
      </c>
      <c r="U50" s="2"/>
      <c r="V50" s="7">
        <f t="shared" si="25"/>
        <v>1.6392949938663046E-4</v>
      </c>
      <c r="W50" s="2"/>
      <c r="X50" s="6">
        <f t="shared" si="26"/>
        <v>-60</v>
      </c>
      <c r="Y50" s="2"/>
      <c r="Z50" s="7">
        <f t="shared" si="27"/>
        <v>-1</v>
      </c>
    </row>
    <row r="51" spans="1:26" s="28" customFormat="1" outlineLevel="1" collapsed="1" x14ac:dyDescent="0.3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1.4645577035735209E-3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300</v>
      </c>
      <c r="U51" s="1"/>
      <c r="V51" s="5">
        <f t="shared" ref="V51:V60" si="33">IF(T$12=0,0,T51/T$12)</f>
        <v>8.1964749693315224E-4</v>
      </c>
      <c r="W51" s="1"/>
      <c r="X51" s="1">
        <f t="shared" ref="X51:X60" si="34">+P51-T51</f>
        <v>-300</v>
      </c>
      <c r="Y51" s="1"/>
      <c r="Z51" s="5">
        <f t="shared" ref="Z51:Z60" si="35">IF(T51=0,0,X51/T51)</f>
        <v>-1</v>
      </c>
    </row>
    <row r="52" spans="1:26" s="24" customFormat="1" hidden="1" outlineLevel="2" x14ac:dyDescent="0.3">
      <c r="A52" s="29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1.4645577035735209E-3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300</v>
      </c>
      <c r="U52" s="2"/>
      <c r="V52" s="7">
        <f t="shared" si="33"/>
        <v>8.1964749693315224E-4</v>
      </c>
      <c r="W52" s="2"/>
      <c r="X52" s="6">
        <f t="shared" si="34"/>
        <v>-300</v>
      </c>
      <c r="Y52" s="2"/>
      <c r="Z52" s="7">
        <f t="shared" si="35"/>
        <v>-1</v>
      </c>
    </row>
    <row r="53" spans="1:26" s="28" customFormat="1" outlineLevel="1" collapsed="1" x14ac:dyDescent="0.3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39.43</v>
      </c>
      <c r="E53" s="1"/>
      <c r="F53" s="5">
        <f t="shared" si="28"/>
        <v>-2.6293678314217124E-3</v>
      </c>
      <c r="G53" s="1"/>
      <c r="H53" s="1">
        <f>SUM(OSRRefH22_7x_0)</f>
        <v>40</v>
      </c>
      <c r="I53" s="1"/>
      <c r="J53" s="5">
        <f t="shared" si="29"/>
        <v>1.1716461628588166E-3</v>
      </c>
      <c r="K53" s="1"/>
      <c r="L53" s="1">
        <f t="shared" si="30"/>
        <v>-0.57000000000000028</v>
      </c>
      <c r="M53" s="1"/>
      <c r="N53" s="5">
        <f t="shared" si="31"/>
        <v>-1.4250000000000007E-2</v>
      </c>
      <c r="O53" s="14"/>
      <c r="P53" s="1">
        <f>SUM(OSRRefP22_7x_0)</f>
        <v>236.58</v>
      </c>
      <c r="Q53" s="1"/>
      <c r="R53" s="5">
        <f t="shared" si="32"/>
        <v>8.1706660035641766E-4</v>
      </c>
      <c r="S53" s="1"/>
      <c r="T53" s="1">
        <f>SUM(OSRRefT22_7x_0)</f>
        <v>240</v>
      </c>
      <c r="U53" s="1"/>
      <c r="V53" s="5">
        <f t="shared" si="33"/>
        <v>6.5571799754652184E-4</v>
      </c>
      <c r="W53" s="1"/>
      <c r="X53" s="1">
        <f t="shared" si="34"/>
        <v>-3.4199999999999875</v>
      </c>
      <c r="Y53" s="1"/>
      <c r="Z53" s="5">
        <f t="shared" si="35"/>
        <v>-1.4249999999999948E-2</v>
      </c>
    </row>
    <row r="54" spans="1:26" s="24" customFormat="1" hidden="1" outlineLevel="2" x14ac:dyDescent="0.3">
      <c r="A54" s="29"/>
      <c r="B54" s="11" t="str">
        <f>CONCATENATE("          ", "6314", " - ", "LIABILITY INSURANCE")</f>
        <v xml:space="preserve">          6314 - LIABILITY INSURANCE</v>
      </c>
      <c r="C54" s="11"/>
      <c r="D54" s="6">
        <v>39.43</v>
      </c>
      <c r="E54" s="2"/>
      <c r="F54" s="7">
        <f t="shared" si="28"/>
        <v>-2.6293678314217124E-3</v>
      </c>
      <c r="G54" s="2"/>
      <c r="H54" s="6">
        <v>40</v>
      </c>
      <c r="I54" s="2"/>
      <c r="J54" s="7">
        <f t="shared" si="29"/>
        <v>1.1716461628588166E-3</v>
      </c>
      <c r="K54" s="2"/>
      <c r="L54" s="6">
        <f t="shared" si="30"/>
        <v>-0.57000000000000028</v>
      </c>
      <c r="M54" s="2"/>
      <c r="N54" s="7">
        <f t="shared" si="31"/>
        <v>-1.4250000000000007E-2</v>
      </c>
      <c r="O54" s="11"/>
      <c r="P54" s="6">
        <v>236.58</v>
      </c>
      <c r="Q54" s="2"/>
      <c r="R54" s="7">
        <f t="shared" si="32"/>
        <v>8.1706660035641766E-4</v>
      </c>
      <c r="S54" s="2"/>
      <c r="T54" s="6">
        <v>240</v>
      </c>
      <c r="U54" s="2"/>
      <c r="V54" s="7">
        <f t="shared" si="33"/>
        <v>6.5571799754652184E-4</v>
      </c>
      <c r="W54" s="2"/>
      <c r="X54" s="6">
        <f t="shared" si="34"/>
        <v>-3.4199999999999875</v>
      </c>
      <c r="Y54" s="2"/>
      <c r="Z54" s="7">
        <f t="shared" si="35"/>
        <v>-1.4249999999999948E-2</v>
      </c>
    </row>
    <row r="55" spans="1:26" s="28" customFormat="1" outlineLevel="1" collapsed="1" x14ac:dyDescent="0.3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-5.3347559349159773E-2</v>
      </c>
      <c r="G55" s="1"/>
      <c r="H55" s="1">
        <f>SUM(OSRRefH22_8x_0)</f>
        <v>800</v>
      </c>
      <c r="I55" s="1"/>
      <c r="J55" s="5">
        <f t="shared" si="29"/>
        <v>2.3432923257176334E-2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4800</v>
      </c>
      <c r="Q55" s="1"/>
      <c r="R55" s="5">
        <f t="shared" si="32"/>
        <v>1.6577562269468275E-2</v>
      </c>
      <c r="S55" s="1"/>
      <c r="T55" s="1">
        <f>SUM(OSRRefT22_8x_0)</f>
        <v>4800</v>
      </c>
      <c r="U55" s="1"/>
      <c r="V55" s="5">
        <f t="shared" si="33"/>
        <v>1.3114359950930436E-2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3">
      <c r="A56" s="29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-5.3347559349159773E-2</v>
      </c>
      <c r="G56" s="2"/>
      <c r="H56" s="6">
        <v>800</v>
      </c>
      <c r="I56" s="2"/>
      <c r="J56" s="7">
        <f t="shared" si="29"/>
        <v>2.3432923257176334E-2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4800</v>
      </c>
      <c r="Q56" s="2"/>
      <c r="R56" s="7">
        <f t="shared" si="32"/>
        <v>1.6577562269468275E-2</v>
      </c>
      <c r="S56" s="2"/>
      <c r="T56" s="6">
        <v>4800</v>
      </c>
      <c r="U56" s="2"/>
      <c r="V56" s="7">
        <f t="shared" si="33"/>
        <v>1.3114359950930436E-2</v>
      </c>
      <c r="W56" s="2"/>
      <c r="X56" s="6">
        <f t="shared" si="34"/>
        <v>0</v>
      </c>
      <c r="Y56" s="2"/>
      <c r="Z56" s="7">
        <f t="shared" si="35"/>
        <v>0</v>
      </c>
    </row>
    <row r="57" spans="1:26" s="28" customFormat="1" outlineLevel="1" collapsed="1" x14ac:dyDescent="0.3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3200</v>
      </c>
      <c r="I57" s="1"/>
      <c r="J57" s="5">
        <f t="shared" si="29"/>
        <v>9.3731693028705335E-2</v>
      </c>
      <c r="K57" s="1"/>
      <c r="L57" s="1">
        <f t="shared" si="30"/>
        <v>-3200</v>
      </c>
      <c r="M57" s="1"/>
      <c r="N57" s="5">
        <f t="shared" si="31"/>
        <v>-1</v>
      </c>
      <c r="O57" s="14"/>
      <c r="P57" s="1">
        <f>SUM(OSRRefP22_9x_0)</f>
        <v>122000.62</v>
      </c>
      <c r="Q57" s="1"/>
      <c r="R57" s="5">
        <f t="shared" si="32"/>
        <v>0.42134851561744513</v>
      </c>
      <c r="S57" s="1"/>
      <c r="T57" s="1">
        <f>SUM(OSRRefT22_9x_0)</f>
        <v>144200</v>
      </c>
      <c r="U57" s="1"/>
      <c r="V57" s="5">
        <f t="shared" si="33"/>
        <v>0.39397723019253522</v>
      </c>
      <c r="W57" s="1"/>
      <c r="X57" s="1">
        <f t="shared" si="34"/>
        <v>-22199.380000000005</v>
      </c>
      <c r="Y57" s="1"/>
      <c r="Z57" s="5">
        <f t="shared" si="35"/>
        <v>-0.15394854368932043</v>
      </c>
    </row>
    <row r="58" spans="1:26" s="24" customFormat="1" hidden="1" outlineLevel="2" x14ac:dyDescent="0.3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0.34151979038881347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3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3200</v>
      </c>
      <c r="I59" s="2"/>
      <c r="J59" s="7">
        <f t="shared" si="29"/>
        <v>9.3731693028705335E-2</v>
      </c>
      <c r="K59" s="2"/>
      <c r="L59" s="6">
        <f t="shared" si="30"/>
        <v>-3200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19200</v>
      </c>
      <c r="U59" s="2"/>
      <c r="V59" s="7">
        <f t="shared" si="33"/>
        <v>5.2457439803721743E-2</v>
      </c>
      <c r="W59" s="2"/>
      <c r="X59" s="6">
        <f t="shared" si="34"/>
        <v>-19200</v>
      </c>
      <c r="Y59" s="2"/>
      <c r="Z59" s="7">
        <f t="shared" si="35"/>
        <v>-1</v>
      </c>
    </row>
    <row r="60" spans="1:26" s="24" customFormat="1" hidden="1" outlineLevel="2" x14ac:dyDescent="0.3">
      <c r="A60" s="29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122000.62</v>
      </c>
      <c r="Q60" s="2"/>
      <c r="R60" s="7">
        <f t="shared" si="32"/>
        <v>0.42134851561744513</v>
      </c>
      <c r="S60" s="2"/>
      <c r="T60" s="6"/>
      <c r="U60" s="2"/>
      <c r="V60" s="7">
        <f t="shared" si="33"/>
        <v>0</v>
      </c>
      <c r="W60" s="2"/>
      <c r="X60" s="6">
        <f t="shared" si="34"/>
        <v>122000.62</v>
      </c>
      <c r="Y60" s="2"/>
      <c r="Z60" s="7">
        <f t="shared" si="35"/>
        <v>0</v>
      </c>
    </row>
    <row r="61" spans="1:26" s="28" customFormat="1" outlineLevel="1" collapsed="1" x14ac:dyDescent="0.3">
      <c r="A61" s="27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36">IF(D$12=0,0,D61/D$12)</f>
        <v>0</v>
      </c>
      <c r="G61" s="1"/>
      <c r="H61" s="1">
        <f>SUM(OSRRefH22_10x_0)</f>
        <v>85</v>
      </c>
      <c r="I61" s="1"/>
      <c r="J61" s="5">
        <f t="shared" ref="J61:J66" si="37">IF(H$12=0,0,H61/H$12)</f>
        <v>2.4897480960749852E-3</v>
      </c>
      <c r="K61" s="1"/>
      <c r="L61" s="1">
        <f t="shared" ref="L61:L66" si="38">+D61-H61</f>
        <v>-85</v>
      </c>
      <c r="M61" s="1"/>
      <c r="N61" s="5">
        <f t="shared" ref="N61:N66" si="39">IF(H61=0,0,L61/H61)</f>
        <v>-1</v>
      </c>
      <c r="O61" s="14"/>
      <c r="P61" s="1">
        <f>SUM(OSRRefP22_10x_0)</f>
        <v>0</v>
      </c>
      <c r="Q61" s="1"/>
      <c r="R61" s="5">
        <f t="shared" ref="R61:R66" si="40">IF(P$12=0,0,P61/P$12)</f>
        <v>0</v>
      </c>
      <c r="S61" s="1"/>
      <c r="T61" s="1">
        <f>SUM(OSRRefT22_10x_0)</f>
        <v>510</v>
      </c>
      <c r="U61" s="1"/>
      <c r="V61" s="5">
        <f t="shared" ref="V61:V66" si="41">IF(T$12=0,0,T61/T$12)</f>
        <v>1.3934007447863588E-3</v>
      </c>
      <c r="W61" s="1"/>
      <c r="X61" s="1">
        <f t="shared" ref="X61:X66" si="42">+P61-T61</f>
        <v>-510</v>
      </c>
      <c r="Y61" s="1"/>
      <c r="Z61" s="5">
        <f t="shared" ref="Z61:Z66" si="43">IF(T61=0,0,X61/T61)</f>
        <v>-1</v>
      </c>
    </row>
    <row r="62" spans="1:26" s="24" customFormat="1" hidden="1" outlineLevel="2" x14ac:dyDescent="0.3">
      <c r="A62" s="29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36"/>
        <v>0</v>
      </c>
      <c r="G62" s="2"/>
      <c r="H62" s="6">
        <v>85</v>
      </c>
      <c r="I62" s="2"/>
      <c r="J62" s="7">
        <f t="shared" si="37"/>
        <v>2.4897480960749852E-3</v>
      </c>
      <c r="K62" s="2"/>
      <c r="L62" s="6">
        <f t="shared" si="38"/>
        <v>-85</v>
      </c>
      <c r="M62" s="2"/>
      <c r="N62" s="7">
        <f t="shared" si="39"/>
        <v>-1</v>
      </c>
      <c r="O62" s="11"/>
      <c r="P62" s="6"/>
      <c r="Q62" s="2"/>
      <c r="R62" s="7">
        <f t="shared" si="40"/>
        <v>0</v>
      </c>
      <c r="S62" s="2"/>
      <c r="T62" s="6">
        <v>510</v>
      </c>
      <c r="U62" s="2"/>
      <c r="V62" s="7">
        <f t="shared" si="41"/>
        <v>1.3934007447863588E-3</v>
      </c>
      <c r="W62" s="2"/>
      <c r="X62" s="6">
        <f t="shared" si="42"/>
        <v>-510</v>
      </c>
      <c r="Y62" s="2"/>
      <c r="Z62" s="7">
        <f t="shared" si="43"/>
        <v>-1</v>
      </c>
    </row>
    <row r="63" spans="1:26" s="28" customFormat="1" outlineLevel="1" collapsed="1" x14ac:dyDescent="0.3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30.62</v>
      </c>
      <c r="E63" s="1"/>
      <c r="F63" s="5">
        <f t="shared" si="36"/>
        <v>-2.0418778340890904E-3</v>
      </c>
      <c r="G63" s="1"/>
      <c r="H63" s="1">
        <f>SUM(OSRRefH22_11x_0)</f>
        <v>5800</v>
      </c>
      <c r="I63" s="1"/>
      <c r="J63" s="5">
        <f t="shared" si="37"/>
        <v>0.16988869361452841</v>
      </c>
      <c r="K63" s="1"/>
      <c r="L63" s="1">
        <f t="shared" si="38"/>
        <v>-5769.38</v>
      </c>
      <c r="M63" s="1"/>
      <c r="N63" s="5">
        <f t="shared" si="39"/>
        <v>-0.99472068965517246</v>
      </c>
      <c r="O63" s="14"/>
      <c r="P63" s="1">
        <f>SUM(OSRRefP22_11x_0)</f>
        <v>15555.09</v>
      </c>
      <c r="Q63" s="1"/>
      <c r="R63" s="5">
        <f t="shared" si="40"/>
        <v>5.3721973558788182E-2</v>
      </c>
      <c r="S63" s="1"/>
      <c r="T63" s="1">
        <f>SUM(OSRRefT22_11x_0)</f>
        <v>34800</v>
      </c>
      <c r="U63" s="1"/>
      <c r="V63" s="5">
        <f t="shared" si="41"/>
        <v>9.5079109644245666E-2</v>
      </c>
      <c r="W63" s="1"/>
      <c r="X63" s="1">
        <f t="shared" si="42"/>
        <v>-19244.91</v>
      </c>
      <c r="Y63" s="1"/>
      <c r="Z63" s="5">
        <f t="shared" si="43"/>
        <v>-0.55301465517241377</v>
      </c>
    </row>
    <row r="64" spans="1:26" s="24" customFormat="1" hidden="1" outlineLevel="2" x14ac:dyDescent="0.3">
      <c r="A64" s="29"/>
      <c r="B64" s="11" t="str">
        <f>CONCATENATE("          ", "6234", " - ", "EXPENDABLE SUPPLIES &amp; EQUIPMEN")</f>
        <v xml:space="preserve">          6234 - EXPENDABLE SUPPLIES &amp; EQUIPMEN</v>
      </c>
      <c r="C64" s="11"/>
      <c r="D64" s="6"/>
      <c r="E64" s="2"/>
      <c r="F64" s="7">
        <f t="shared" si="36"/>
        <v>0</v>
      </c>
      <c r="G64" s="2"/>
      <c r="H64" s="6">
        <v>5800</v>
      </c>
      <c r="I64" s="2"/>
      <c r="J64" s="7">
        <f t="shared" si="37"/>
        <v>0.16988869361452841</v>
      </c>
      <c r="K64" s="2"/>
      <c r="L64" s="6">
        <f t="shared" si="38"/>
        <v>-5800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34800</v>
      </c>
      <c r="U64" s="2"/>
      <c r="V64" s="7">
        <f t="shared" si="41"/>
        <v>9.5079109644245666E-2</v>
      </c>
      <c r="W64" s="2"/>
      <c r="X64" s="6">
        <f t="shared" si="42"/>
        <v>-34800</v>
      </c>
      <c r="Y64" s="2"/>
      <c r="Z64" s="7">
        <f t="shared" si="43"/>
        <v>-1</v>
      </c>
    </row>
    <row r="65" spans="1:26" s="24" customFormat="1" hidden="1" outlineLevel="2" x14ac:dyDescent="0.3">
      <c r="A65" s="29"/>
      <c r="B65" s="11" t="str">
        <f>CONCATENATE("          ", "6241", " - ", "OFFICE EXPENSE")</f>
        <v xml:space="preserve">          6241 - OFFICE EXPENSE</v>
      </c>
      <c r="C65" s="11"/>
      <c r="D65" s="6">
        <v>30.62</v>
      </c>
      <c r="E65" s="2"/>
      <c r="F65" s="7">
        <f t="shared" si="36"/>
        <v>-2.0418778340890904E-3</v>
      </c>
      <c r="G65" s="2"/>
      <c r="H65" s="6"/>
      <c r="I65" s="2"/>
      <c r="J65" s="7">
        <f t="shared" si="37"/>
        <v>0</v>
      </c>
      <c r="K65" s="2"/>
      <c r="L65" s="6">
        <f t="shared" si="38"/>
        <v>30.62</v>
      </c>
      <c r="M65" s="2"/>
      <c r="N65" s="7">
        <f t="shared" si="39"/>
        <v>0</v>
      </c>
      <c r="O65" s="11"/>
      <c r="P65" s="6">
        <v>15538.55</v>
      </c>
      <c r="Q65" s="2"/>
      <c r="R65" s="7">
        <f t="shared" si="40"/>
        <v>5.3664850042134636E-2</v>
      </c>
      <c r="S65" s="2"/>
      <c r="T65" s="6"/>
      <c r="U65" s="2"/>
      <c r="V65" s="7">
        <f t="shared" si="41"/>
        <v>0</v>
      </c>
      <c r="W65" s="2"/>
      <c r="X65" s="6">
        <f t="shared" si="42"/>
        <v>15538.55</v>
      </c>
      <c r="Y65" s="2"/>
      <c r="Z65" s="7">
        <f t="shared" si="43"/>
        <v>0</v>
      </c>
    </row>
    <row r="66" spans="1:26" s="24" customFormat="1" hidden="1" outlineLevel="2" x14ac:dyDescent="0.3">
      <c r="A66" s="29"/>
      <c r="B66" s="11" t="str">
        <f>CONCATENATE("          ", "6247", " - ", "STORE SUPPLIES")</f>
        <v xml:space="preserve">          6247 - STORE SUPPLIES</v>
      </c>
      <c r="C66" s="11"/>
      <c r="D66" s="6"/>
      <c r="E66" s="2"/>
      <c r="F66" s="7">
        <f t="shared" si="36"/>
        <v>0</v>
      </c>
      <c r="G66" s="2"/>
      <c r="H66" s="6"/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16.54</v>
      </c>
      <c r="Q66" s="2"/>
      <c r="R66" s="7">
        <f t="shared" si="40"/>
        <v>5.7123516653542758E-5</v>
      </c>
      <c r="S66" s="2"/>
      <c r="T66" s="6"/>
      <c r="U66" s="2"/>
      <c r="V66" s="7">
        <f t="shared" si="41"/>
        <v>0</v>
      </c>
      <c r="W66" s="2"/>
      <c r="X66" s="6">
        <f t="shared" si="42"/>
        <v>16.54</v>
      </c>
      <c r="Y66" s="2"/>
      <c r="Z66" s="7">
        <f t="shared" si="43"/>
        <v>0</v>
      </c>
    </row>
    <row r="67" spans="1:26" s="28" customFormat="1" outlineLevel="1" collapsed="1" x14ac:dyDescent="0.3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90.15</v>
      </c>
      <c r="E67" s="1"/>
      <c r="F67" s="5">
        <f t="shared" ref="F67:F70" si="44">IF(D$12=0,0,D67/D$12)</f>
        <v>-6.0116030941584422E-3</v>
      </c>
      <c r="G67" s="1"/>
      <c r="H67" s="1">
        <f>SUM(OSRRefH22_12x_0)</f>
        <v>350</v>
      </c>
      <c r="I67" s="1"/>
      <c r="J67" s="5">
        <f t="shared" ref="J67:J70" si="45">IF(H$12=0,0,H67/H$12)</f>
        <v>1.0251903925014646E-2</v>
      </c>
      <c r="K67" s="1"/>
      <c r="L67" s="1">
        <f t="shared" ref="L67:L70" si="46">+D67-H67</f>
        <v>-259.85000000000002</v>
      </c>
      <c r="M67" s="1"/>
      <c r="N67" s="5">
        <f t="shared" ref="N67:N70" si="47">IF(H67=0,0,L67/H67)</f>
        <v>-0.74242857142857155</v>
      </c>
      <c r="O67" s="14"/>
      <c r="P67" s="1">
        <f>SUM(OSRRefP22_12x_0)</f>
        <v>105</v>
      </c>
      <c r="Q67" s="1"/>
      <c r="R67" s="5">
        <f t="shared" ref="R67:R70" si="48">IF(P$12=0,0,P67/P$12)</f>
        <v>3.6263417464461851E-4</v>
      </c>
      <c r="S67" s="1"/>
      <c r="T67" s="1">
        <f>SUM(OSRRefT22_12x_0)</f>
        <v>2100</v>
      </c>
      <c r="U67" s="1"/>
      <c r="V67" s="5">
        <f t="shared" ref="V67:V70" si="49">IF(T$12=0,0,T67/T$12)</f>
        <v>5.7375324785320656E-3</v>
      </c>
      <c r="W67" s="1"/>
      <c r="X67" s="1">
        <f t="shared" ref="X67:X70" si="50">+P67-T67</f>
        <v>-1995</v>
      </c>
      <c r="Y67" s="1"/>
      <c r="Z67" s="5">
        <f t="shared" ref="Z67:Z70" si="51">IF(T67=0,0,X67/T67)</f>
        <v>-0.95</v>
      </c>
    </row>
    <row r="68" spans="1:26" s="24" customFormat="1" hidden="1" outlineLevel="2" x14ac:dyDescent="0.3">
      <c r="A68" s="29"/>
      <c r="B68" s="11" t="str">
        <f>CONCATENATE("          ", "6309", " - ", "TELEPHONE")</f>
        <v xml:space="preserve">          6309 - TELEPHONE</v>
      </c>
      <c r="C68" s="11"/>
      <c r="D68" s="6">
        <v>90.15</v>
      </c>
      <c r="E68" s="2"/>
      <c r="F68" s="7">
        <f t="shared" si="44"/>
        <v>-6.0116030941584422E-3</v>
      </c>
      <c r="G68" s="2"/>
      <c r="H68" s="6">
        <v>350</v>
      </c>
      <c r="I68" s="2"/>
      <c r="J68" s="7">
        <f t="shared" si="45"/>
        <v>1.0251903925014646E-2</v>
      </c>
      <c r="K68" s="2"/>
      <c r="L68" s="6">
        <f t="shared" si="46"/>
        <v>-259.85000000000002</v>
      </c>
      <c r="M68" s="2"/>
      <c r="N68" s="7">
        <f t="shared" si="47"/>
        <v>-0.74242857142857155</v>
      </c>
      <c r="O68" s="11"/>
      <c r="P68" s="6">
        <v>105</v>
      </c>
      <c r="Q68" s="2"/>
      <c r="R68" s="7">
        <f t="shared" si="48"/>
        <v>3.6263417464461851E-4</v>
      </c>
      <c r="S68" s="2"/>
      <c r="T68" s="6">
        <v>2100</v>
      </c>
      <c r="U68" s="2"/>
      <c r="V68" s="7">
        <f t="shared" si="49"/>
        <v>5.7375324785320656E-3</v>
      </c>
      <c r="W68" s="2"/>
      <c r="X68" s="6">
        <f t="shared" si="50"/>
        <v>-1995</v>
      </c>
      <c r="Y68" s="2"/>
      <c r="Z68" s="7">
        <f t="shared" si="51"/>
        <v>-0.95</v>
      </c>
    </row>
    <row r="69" spans="1:26" s="28" customFormat="1" outlineLevel="1" collapsed="1" x14ac:dyDescent="0.3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4"/>
      <c r="P69" s="1">
        <f>SUM(OSRRefP22_13x_0)</f>
        <v>2000</v>
      </c>
      <c r="Q69" s="1"/>
      <c r="R69" s="5">
        <f t="shared" si="48"/>
        <v>6.9073176122784481E-3</v>
      </c>
      <c r="S69" s="1"/>
      <c r="T69" s="1">
        <f>SUM(OSRRefT22_13x_0)</f>
        <v>0</v>
      </c>
      <c r="U69" s="1"/>
      <c r="V69" s="5">
        <f t="shared" si="49"/>
        <v>0</v>
      </c>
      <c r="W69" s="1"/>
      <c r="X69" s="1">
        <f t="shared" si="50"/>
        <v>2000</v>
      </c>
      <c r="Y69" s="1"/>
      <c r="Z69" s="5">
        <f t="shared" si="51"/>
        <v>0</v>
      </c>
    </row>
    <row r="70" spans="1:26" s="24" customFormat="1" hidden="1" outlineLevel="2" x14ac:dyDescent="0.3">
      <c r="A70" s="29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2000</v>
      </c>
      <c r="Q70" s="2"/>
      <c r="R70" s="7">
        <f t="shared" si="48"/>
        <v>6.9073176122784481E-3</v>
      </c>
      <c r="S70" s="2"/>
      <c r="T70" s="6"/>
      <c r="U70" s="2"/>
      <c r="V70" s="7">
        <f t="shared" si="49"/>
        <v>0</v>
      </c>
      <c r="W70" s="2"/>
      <c r="X70" s="6">
        <f t="shared" si="50"/>
        <v>2000</v>
      </c>
      <c r="Y70" s="2"/>
      <c r="Z70" s="7">
        <f t="shared" si="51"/>
        <v>0</v>
      </c>
    </row>
    <row r="71" spans="1:26" s="55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713.07</v>
      </c>
      <c r="E72" s="4"/>
      <c r="F72" s="12">
        <f t="shared" ref="F72:F73" si="52">IF(D$12=0,0,D72/D$12)</f>
        <v>-4.7550680181381706E-2</v>
      </c>
      <c r="G72" s="4"/>
      <c r="H72" s="4">
        <f>SUM(OSRRefH25x_0)</f>
        <v>2400</v>
      </c>
      <c r="I72" s="4"/>
      <c r="J72" s="12">
        <f t="shared" ref="J72:J73" si="53">IF(H$12=0,0,H72/H$12)</f>
        <v>7.0298769771529004E-2</v>
      </c>
      <c r="K72" s="4"/>
      <c r="L72" s="4">
        <f t="shared" ref="L72:L73" si="54">+D72-H72</f>
        <v>-1686.9299999999998</v>
      </c>
      <c r="M72" s="4"/>
      <c r="N72" s="12">
        <f t="shared" ref="N72:N73" si="55">IF(H72=0,0,L72/H72)</f>
        <v>-0.70288749999999989</v>
      </c>
      <c r="O72" s="10"/>
      <c r="P72" s="4">
        <f>SUM(OSRRefP25x_0)</f>
        <v>5730.4</v>
      </c>
      <c r="Q72" s="4"/>
      <c r="R72" s="12">
        <f t="shared" ref="R72:R73" si="56">IF(P$12=0,0,P72/P$12)</f>
        <v>1.9790846422700209E-2</v>
      </c>
      <c r="S72" s="4"/>
      <c r="T72" s="4">
        <f>SUM(OSRRefT25x_0)</f>
        <v>14400</v>
      </c>
      <c r="U72" s="4"/>
      <c r="V72" s="12">
        <f t="shared" ref="V72:V73" si="57">IF(T$12=0,0,T72/T$12)</f>
        <v>3.9343079852791313E-2</v>
      </c>
      <c r="W72" s="4"/>
      <c r="X72" s="4">
        <f t="shared" ref="X72:X73" si="58">+P72-T72</f>
        <v>-8669.6</v>
      </c>
      <c r="Y72" s="4"/>
      <c r="Z72" s="12">
        <f t="shared" ref="Z72:Z73" si="59">IF(T72=0,0,X72/T72)</f>
        <v>-0.60205555555555557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--713.07</f>
        <v>713.07</v>
      </c>
      <c r="E73" s="2"/>
      <c r="F73" s="19">
        <f t="shared" si="52"/>
        <v>-4.7550680181381706E-2</v>
      </c>
      <c r="G73" s="2"/>
      <c r="H73" s="2">
        <v>2400</v>
      </c>
      <c r="I73" s="2"/>
      <c r="J73" s="19">
        <f t="shared" si="53"/>
        <v>7.0298769771529004E-2</v>
      </c>
      <c r="K73" s="2"/>
      <c r="L73" s="2">
        <f t="shared" si="54"/>
        <v>-1686.9299999999998</v>
      </c>
      <c r="M73" s="2"/>
      <c r="N73" s="19">
        <f t="shared" si="55"/>
        <v>-0.70288749999999989</v>
      </c>
      <c r="O73" s="11"/>
      <c r="P73" s="2">
        <f>--5730.4</f>
        <v>5730.4</v>
      </c>
      <c r="Q73" s="2"/>
      <c r="R73" s="19">
        <f t="shared" si="56"/>
        <v>1.9790846422700209E-2</v>
      </c>
      <c r="S73" s="2"/>
      <c r="T73" s="2">
        <v>14400</v>
      </c>
      <c r="U73" s="2"/>
      <c r="V73" s="19">
        <f t="shared" si="57"/>
        <v>3.9343079852791313E-2</v>
      </c>
      <c r="W73" s="2"/>
      <c r="X73" s="2">
        <f t="shared" si="58"/>
        <v>-8669.6</v>
      </c>
      <c r="Y73" s="2"/>
      <c r="Z73" s="19">
        <f t="shared" si="59"/>
        <v>-0.60205555555555557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+D17-D19+D72</f>
        <v>-30657.85</v>
      </c>
      <c r="E75" s="13"/>
      <c r="F75" s="22">
        <f>IF(D$12=0,0,D75/D$12)</f>
        <v>2.0444018404907975</v>
      </c>
      <c r="G75" s="13"/>
      <c r="H75" s="20">
        <f>+H17-H19+H72</f>
        <v>3489.6604708223094</v>
      </c>
      <c r="I75" s="13"/>
      <c r="J75" s="22">
        <f>IF(H$12=0,0,H75/H$12)</f>
        <v>0.10221618250797626</v>
      </c>
      <c r="K75" s="16"/>
      <c r="L75" s="20">
        <f>+D75-H75</f>
        <v>-34147.510470822308</v>
      </c>
      <c r="M75" s="16"/>
      <c r="N75" s="22">
        <f>IF(H75=0,0,L75/H75)</f>
        <v>-9.7853389337833576</v>
      </c>
      <c r="O75" s="25"/>
      <c r="P75" s="20">
        <f>+P17-P19+P72</f>
        <v>36201.500000000007</v>
      </c>
      <c r="Q75" s="13"/>
      <c r="R75" s="22">
        <f>IF(P$12=0,0,P75/P$12)</f>
        <v>0.12502762927044914</v>
      </c>
      <c r="S75" s="13"/>
      <c r="T75" s="20">
        <f>+T17-T19+T72</f>
        <v>37407.421935344988</v>
      </c>
      <c r="U75" s="13"/>
      <c r="V75" s="22">
        <f>IF(T$12=0,0,T75/T$12)</f>
        <v>0.10220299918675939</v>
      </c>
      <c r="W75" s="16"/>
      <c r="X75" s="20">
        <f>+P75-T75</f>
        <v>-1205.9219353449807</v>
      </c>
      <c r="Y75" s="16"/>
      <c r="Z75" s="22">
        <f>IF(T75=0,0,X75/T75)</f>
        <v>-3.2237504563380419E-2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-1421.65</v>
      </c>
      <c r="E77" s="4"/>
      <c r="F77" s="12">
        <f>IF(D$12=0,0,D77/D$12)</f>
        <v>9.4801947185916252E-2</v>
      </c>
      <c r="G77" s="4"/>
      <c r="H77" s="4">
        <v>5900</v>
      </c>
      <c r="I77" s="4"/>
      <c r="J77" s="12">
        <f>IF(H$12=0,0,H77/H$12)</f>
        <v>0.17281780902167546</v>
      </c>
      <c r="K77" s="4"/>
      <c r="L77" s="4">
        <f>+D77-H77</f>
        <v>-7321.65</v>
      </c>
      <c r="M77" s="4"/>
      <c r="N77" s="12">
        <f>IF(H77=0,0,L77/H77)</f>
        <v>-1.240957627118644</v>
      </c>
      <c r="O77" s="10"/>
      <c r="P77" s="4">
        <v>34853.120000000003</v>
      </c>
      <c r="Q77" s="4"/>
      <c r="R77" s="12">
        <f>IF(P$12=0,0,P77/P$12)</f>
        <v>0.12037078480942712</v>
      </c>
      <c r="S77" s="4"/>
      <c r="T77" s="4">
        <v>47388</v>
      </c>
      <c r="U77" s="4"/>
      <c r="V77" s="12">
        <f>IF(T$12=0,0,T77/T$12)</f>
        <v>0.12947151861556072</v>
      </c>
      <c r="W77" s="4"/>
      <c r="X77" s="4">
        <f>+P77-T77</f>
        <v>-12534.879999999997</v>
      </c>
      <c r="Y77" s="4"/>
      <c r="Z77" s="12">
        <f>IF(T77=0,0,X77/T77)</f>
        <v>-0.26451591120114792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1">
        <f>+D75-D77</f>
        <v>-29236.199999999997</v>
      </c>
      <c r="E79" s="13"/>
      <c r="F79" s="30">
        <f>IF(D$12=0,0,D79/D$12)</f>
        <v>1.949599893304881</v>
      </c>
      <c r="G79" s="13"/>
      <c r="H79" s="31">
        <f>+H75-H77</f>
        <v>-2410.3395291776906</v>
      </c>
      <c r="I79" s="13"/>
      <c r="J79" s="30">
        <f>IF(H$12=0,0,H79/H$12)</f>
        <v>-7.0601626513699195E-2</v>
      </c>
      <c r="K79" s="16"/>
      <c r="L79" s="31">
        <f>D79-H79</f>
        <v>-26825.860470822307</v>
      </c>
      <c r="M79" s="16"/>
      <c r="N79" s="30">
        <f>IF(H79=0,0,L79/H79)</f>
        <v>11.129494474155761</v>
      </c>
      <c r="O79" s="25"/>
      <c r="P79" s="31">
        <f>+P75-P77</f>
        <v>1348.3800000000047</v>
      </c>
      <c r="Q79" s="13"/>
      <c r="R79" s="30">
        <f>IF(P$12=0,0,P79/P$12)</f>
        <v>4.6568444610220229E-3</v>
      </c>
      <c r="S79" s="13"/>
      <c r="T79" s="31">
        <f>+T75-T77</f>
        <v>-9980.578064655012</v>
      </c>
      <c r="U79" s="13"/>
      <c r="V79" s="30">
        <f>IF(T$12=0,0,T79/T$12)</f>
        <v>-2.7268519428801354E-2</v>
      </c>
      <c r="W79" s="16"/>
      <c r="X79" s="31">
        <f>P79-T79</f>
        <v>11328.958064655017</v>
      </c>
      <c r="Y79" s="16"/>
      <c r="Z79" s="30">
        <f>IF(T79=0,0,X79/T79)</f>
        <v>-1.135100391106115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-29236.199999999997</v>
      </c>
      <c r="E82" s="13"/>
      <c r="F82" s="34">
        <f>IF(D$12=0,0,D82/D$12)</f>
        <v>1.949599893304881</v>
      </c>
      <c r="G82" s="13"/>
      <c r="H82" s="35">
        <f>SUM(H79:H81)</f>
        <v>-2410.3395291776906</v>
      </c>
      <c r="I82" s="13"/>
      <c r="J82" s="34">
        <f>IF(H$12=0,0,H82/H$12)</f>
        <v>-7.0601626513699195E-2</v>
      </c>
      <c r="K82" s="16"/>
      <c r="L82" s="35">
        <f>+D82-H82</f>
        <v>-26825.860470822307</v>
      </c>
      <c r="M82" s="16"/>
      <c r="N82" s="34">
        <f>IF(H82=0,0,L82/H82)</f>
        <v>11.129494474155761</v>
      </c>
      <c r="O82" s="25"/>
      <c r="P82" s="35">
        <f>SUM(P79:P81)</f>
        <v>1348.3800000000047</v>
      </c>
      <c r="Q82" s="13"/>
      <c r="R82" s="34">
        <f>IF(P$12=0,0,P82/P$12)</f>
        <v>4.6568444610220229E-3</v>
      </c>
      <c r="S82" s="13"/>
      <c r="T82" s="35">
        <f>SUM(T79:T81)</f>
        <v>-9980.578064655012</v>
      </c>
      <c r="U82" s="13"/>
      <c r="V82" s="34">
        <f>IF(T$12=0,0,T82/T$12)</f>
        <v>-2.7268519428801354E-2</v>
      </c>
      <c r="W82" s="16"/>
      <c r="X82" s="35">
        <f>+P82-T82</f>
        <v>11328.958064655017</v>
      </c>
      <c r="Y82" s="16"/>
      <c r="Z82" s="34">
        <f>IF(T82=0,0,X82/T82)</f>
        <v>-1.135100391106115</v>
      </c>
    </row>
    <row r="83" spans="1:26" ht="15" thickTop="1" x14ac:dyDescent="0.3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3">
      <c r="A84" s="9"/>
      <c r="B84" s="61">
        <v>44575.842125659721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3">
      <c r="A85" s="9"/>
      <c r="B85" s="62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53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s">
        <v>139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8" t="s">
        <v>23</v>
      </c>
    </row>
    <row r="3" spans="1:26" x14ac:dyDescent="0.3">
      <c r="D3" s="58" t="s">
        <v>237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6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6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6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3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57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3">
      <c r="B7" s="60"/>
    </row>
    <row r="8" spans="1:26" x14ac:dyDescent="0.3">
      <c r="B8" s="60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3">
      <c r="A10" s="10"/>
      <c r="B10" s="54"/>
      <c r="C10" s="10"/>
      <c r="D10" s="42" t="s">
        <v>57</v>
      </c>
      <c r="E10" s="33"/>
      <c r="F10" s="39" t="s">
        <v>40</v>
      </c>
      <c r="G10" s="33"/>
      <c r="H10" s="47" t="s">
        <v>238</v>
      </c>
      <c r="I10" s="33"/>
      <c r="J10" s="45" t="s">
        <v>58</v>
      </c>
      <c r="K10" s="10"/>
      <c r="L10" s="42" t="s">
        <v>127</v>
      </c>
      <c r="M10" s="10"/>
      <c r="N10" s="39" t="s">
        <v>258</v>
      </c>
      <c r="O10" s="10"/>
      <c r="P10" s="59" t="s">
        <v>57</v>
      </c>
      <c r="Q10" s="33"/>
      <c r="R10" s="39" t="s">
        <v>40</v>
      </c>
      <c r="S10" s="33"/>
      <c r="T10" s="47" t="s">
        <v>238</v>
      </c>
      <c r="U10" s="33"/>
      <c r="V10" s="45" t="s">
        <v>58</v>
      </c>
      <c r="W10" s="10"/>
      <c r="X10" s="42" t="s">
        <v>127</v>
      </c>
      <c r="Y10" s="10"/>
      <c r="Z10" s="39" t="s">
        <v>258</v>
      </c>
    </row>
    <row r="11" spans="1:26" ht="15.6" x14ac:dyDescent="0.3">
      <c r="A11" s="9"/>
      <c r="B11" s="63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1" t="e">
        <f ca="1">+D27-D29</f>
        <v>#NAME?</v>
      </c>
      <c r="E31" s="13"/>
      <c r="F31" s="30" t="e">
        <f ca="1">IF(D$12=0,0,D31/D$12)</f>
        <v>#NAME?</v>
      </c>
      <c r="G31" s="13"/>
      <c r="H31" s="31" t="e">
        <f ca="1">+H27-H29</f>
        <v>#NAME?</v>
      </c>
      <c r="I31" s="13"/>
      <c r="J31" s="30" t="e">
        <f ca="1">IF(H$12=0,0,H31/H$12)</f>
        <v>#NAME?</v>
      </c>
      <c r="K31" s="16"/>
      <c r="L31" s="31" t="e">
        <f ca="1">D31-H31</f>
        <v>#NAME?</v>
      </c>
      <c r="M31" s="16"/>
      <c r="N31" s="30" t="e">
        <f ca="1">IF(H31=0,0,L31/H31)</f>
        <v>#NAME?</v>
      </c>
      <c r="O31" s="25"/>
      <c r="P31" s="31" t="e">
        <f ca="1">+P27-P29</f>
        <v>#NAME?</v>
      </c>
      <c r="Q31" s="13"/>
      <c r="R31" s="30" t="e">
        <f ca="1">IF(P$12=0,0,P31/P$12)</f>
        <v>#NAME?</v>
      </c>
      <c r="S31" s="13"/>
      <c r="T31" s="31" t="e">
        <f ca="1">+T27-T29</f>
        <v>#NAME?</v>
      </c>
      <c r="U31" s="13"/>
      <c r="V31" s="30" t="e">
        <f ca="1">IF(T$12=0,0,T31/T$12)</f>
        <v>#NAME?</v>
      </c>
      <c r="W31" s="16"/>
      <c r="X31" s="31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5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92</vt:i4>
      </vt:variant>
      <vt:variant>
        <vt:lpstr>Named Ranges</vt:lpstr>
      </vt:variant>
      <vt:variant>
        <vt:i4>3484</vt:i4>
      </vt:variant>
    </vt:vector>
  </HeadingPairs>
  <TitlesOfParts>
    <vt:vector size="3576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332</vt:lpstr>
      <vt:lpstr>316</vt:lpstr>
      <vt:lpstr>Div 6</vt:lpstr>
      <vt:lpstr>317</vt:lpstr>
      <vt:lpstr>310</vt:lpstr>
      <vt:lpstr>309</vt:lpstr>
      <vt:lpstr>321</vt:lpstr>
      <vt:lpstr>325</vt:lpstr>
      <vt:lpstr>326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'415'!OSRRefD13x_0</vt:lpstr>
      <vt:lpstr>'418'!OSRRefD13x_0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'321'!OSRRefD22_11x_0</vt:lpstr>
      <vt:lpstr>'325'!OSRRefD22_11x_0</vt:lpstr>
      <vt:lpstr>'326'!OSRRefD22_11x_0</vt:lpstr>
      <vt:lpstr>'330'!OSRRefD22_11x_0</vt:lpstr>
      <vt:lpstr>'331'!OSRRefD22_11x_0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'310'!OSRRefD22_13x_0</vt:lpstr>
      <vt:lpstr>'310 &amp; 491'!OSRRefD22_13x_0</vt:lpstr>
      <vt:lpstr>'315'!OSRRefD22_13x_0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'326'!OSRRefD22_17x_0</vt:lpstr>
      <vt:lpstr>'331'!OSRRefD22_17x_0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'331'!OSRRefD22_21x_0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'411'!OSRRefD22_4x_0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'405'!OSRRefD25x_0</vt:lpstr>
      <vt:lpstr>'411'!OSRRefD25x_0</vt:lpstr>
      <vt:lpstr>'415'!OSRRefD25x_0</vt:lpstr>
      <vt:lpstr>'418'!OSRRefD25x_0</vt:lpstr>
      <vt:lpstr>'423'!OSRRefD25x_0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'415'!OSRRefH13x_0</vt:lpstr>
      <vt:lpstr>'418'!OSRRefH13x_0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'321'!OSRRefH22_11x_0</vt:lpstr>
      <vt:lpstr>'325'!OSRRefH22_11x_0</vt:lpstr>
      <vt:lpstr>'326'!OSRRefH22_11x_0</vt:lpstr>
      <vt:lpstr>'330'!OSRRefH22_11x_0</vt:lpstr>
      <vt:lpstr>'331'!OSRRefH22_11x_0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'310'!OSRRefH22_13x_0</vt:lpstr>
      <vt:lpstr>'310 &amp; 491'!OSRRefH22_13x_0</vt:lpstr>
      <vt:lpstr>'315'!OSRRefH22_13x_0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'326'!OSRRefH22_17x_0</vt:lpstr>
      <vt:lpstr>'331'!OSRRefH22_17x_0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'331'!OSRRefH22_21x_0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'411'!OSRRefH22_4x_0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'405'!OSRRefH25x_0</vt:lpstr>
      <vt:lpstr>'411'!OSRRefH25x_0</vt:lpstr>
      <vt:lpstr>'415'!OSRRefH25x_0</vt:lpstr>
      <vt:lpstr>'418'!OSRRefH25x_0</vt:lpstr>
      <vt:lpstr>'423'!OSRRefH25x_0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'415'!OSRRefP13x_0</vt:lpstr>
      <vt:lpstr>'418'!OSRRefP13x_0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'321'!OSRRefP22_11x_0</vt:lpstr>
      <vt:lpstr>'325'!OSRRefP22_11x_0</vt:lpstr>
      <vt:lpstr>'326'!OSRRefP22_11x_0</vt:lpstr>
      <vt:lpstr>'330'!OSRRefP22_11x_0</vt:lpstr>
      <vt:lpstr>'331'!OSRRefP22_11x_0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'310'!OSRRefP22_13x_0</vt:lpstr>
      <vt:lpstr>'310 &amp; 491'!OSRRefP22_13x_0</vt:lpstr>
      <vt:lpstr>'315'!OSRRefP22_13x_0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'326'!OSRRefP22_17x_0</vt:lpstr>
      <vt:lpstr>'331'!OSRRefP22_17x_0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'331'!OSRRefP22_21x_0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'411'!OSRRefP22_4x_0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'405'!OSRRefP25x_0</vt:lpstr>
      <vt:lpstr>'411'!OSRRefP25x_0</vt:lpstr>
      <vt:lpstr>'415'!OSRRefP25x_0</vt:lpstr>
      <vt:lpstr>'418'!OSRRefP25x_0</vt:lpstr>
      <vt:lpstr>'423'!OSRRefP25x_0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'415'!OSRRefT13x_0</vt:lpstr>
      <vt:lpstr>'418'!OSRRefT13x_0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'321'!OSRRefT22_11x_0</vt:lpstr>
      <vt:lpstr>'325'!OSRRefT22_11x_0</vt:lpstr>
      <vt:lpstr>'326'!OSRRefT22_11x_0</vt:lpstr>
      <vt:lpstr>'330'!OSRRefT22_11x_0</vt:lpstr>
      <vt:lpstr>'331'!OSRRefT22_11x_0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'310'!OSRRefT22_13x_0</vt:lpstr>
      <vt:lpstr>'310 &amp; 491'!OSRRefT22_13x_0</vt:lpstr>
      <vt:lpstr>'315'!OSRRefT22_13x_0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'326'!OSRRefT22_17x_0</vt:lpstr>
      <vt:lpstr>'331'!OSRRefT22_17x_0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'331'!OSRRefT22_21x_0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'411'!OSRRefT22_4x_0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'405'!OSRRefT25x_0</vt:lpstr>
      <vt:lpstr>'411'!OSRRefT25x_0</vt:lpstr>
      <vt:lpstr>'415'!OSRRefT25x_0</vt:lpstr>
      <vt:lpstr>'418'!OSRRefT25x_0</vt:lpstr>
      <vt:lpstr>'423'!OSRRefT25x_0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'315'!Print_Area</vt:lpstr>
      <vt:lpstr>'316'!Print_Area</vt:lpstr>
      <vt:lpstr>'317'!Print_Area</vt:lpstr>
      <vt:lpstr>'321'!Print_Area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'315'!Print_Titles</vt:lpstr>
      <vt:lpstr>'316'!Print_Titles</vt:lpstr>
      <vt:lpstr>'317'!Print_Titles</vt:lpstr>
      <vt:lpstr>'321'!Print_Titles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2022-01-14T20:15:50Z</dcterms:created>
  <dcterms:modified xsi:type="dcterms:W3CDTF">2022-01-14T20:24:36Z</dcterms:modified>
</cp:coreProperties>
</file>